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975" yWindow="45" windowWidth="8040" windowHeight="9795" tabRatio="601" activeTab="1"/>
  </bookViews>
  <sheets>
    <sheet name="Alul-túlt._ell.08. MÓD. " sheetId="5" r:id="rId1"/>
    <sheet name="Alul-túlt._ell.09. MÓD.  " sheetId="6" r:id="rId2"/>
  </sheets>
  <definedNames>
    <definedName name="_xlnm.Print_Area" localSheetId="0">'Alul-túlt._ell.08. MÓD. '!$A$1:$M$35</definedName>
    <definedName name="_xlnm.Print_Area" localSheetId="1">'Alul-túlt._ell.09. MÓD.  '!$A$1:$M$34</definedName>
  </definedNames>
  <calcPr calcId="145621"/>
</workbook>
</file>

<file path=xl/calcChain.xml><?xml version="1.0" encoding="utf-8"?>
<calcChain xmlns="http://schemas.openxmlformats.org/spreadsheetml/2006/main">
  <c r="N11" i="6" l="1"/>
  <c r="N10" i="6"/>
  <c r="J11" i="6"/>
  <c r="K11" i="6" s="1"/>
  <c r="L11" i="6" s="1"/>
  <c r="M11" i="6" s="1"/>
  <c r="H30" i="6"/>
  <c r="B26" i="6"/>
  <c r="B25" i="6"/>
  <c r="C25" i="6" s="1"/>
  <c r="B21" i="6"/>
  <c r="H17" i="6"/>
  <c r="H31" i="6" s="1"/>
  <c r="G17" i="6"/>
  <c r="G31" i="6" s="1"/>
  <c r="F17" i="6"/>
  <c r="F31" i="6" s="1"/>
  <c r="E17" i="6"/>
  <c r="E31" i="6" s="1"/>
  <c r="D17" i="6"/>
  <c r="D31" i="6" s="1"/>
  <c r="C17" i="6"/>
  <c r="C31" i="6" s="1"/>
  <c r="B17" i="6"/>
  <c r="H16" i="6"/>
  <c r="H14" i="6" s="1"/>
  <c r="G16" i="6"/>
  <c r="G14" i="6" s="1"/>
  <c r="F16" i="6"/>
  <c r="E16" i="6"/>
  <c r="E14" i="6" s="1"/>
  <c r="D16" i="6"/>
  <c r="D14" i="6" s="1"/>
  <c r="C16" i="6"/>
  <c r="C14" i="6" s="1"/>
  <c r="B16" i="6"/>
  <c r="B14" i="6" s="1"/>
  <c r="F14" i="6"/>
  <c r="L6" i="6"/>
  <c r="J6" i="6"/>
  <c r="L5" i="6"/>
  <c r="N12" i="5"/>
  <c r="N11" i="5"/>
  <c r="B26" i="5"/>
  <c r="C26" i="5" s="1"/>
  <c r="H18" i="5"/>
  <c r="I12" i="5"/>
  <c r="L12" i="5" s="1"/>
  <c r="B33" i="6" l="1"/>
  <c r="B31" i="6"/>
  <c r="C26" i="6"/>
  <c r="B32" i="6"/>
  <c r="G15" i="6"/>
  <c r="C15" i="6"/>
  <c r="D15" i="6"/>
  <c r="C13" i="6"/>
  <c r="C33" i="6" s="1"/>
  <c r="I18" i="5"/>
  <c r="H15" i="6"/>
  <c r="E15" i="6"/>
  <c r="B15" i="6"/>
  <c r="F15" i="6"/>
  <c r="D25" i="6"/>
  <c r="B23" i="6"/>
  <c r="B24" i="6"/>
  <c r="C21" i="6"/>
  <c r="C24" i="6" s="1"/>
  <c r="I16" i="6"/>
  <c r="I14" i="6" s="1"/>
  <c r="M16" i="6"/>
  <c r="M14" i="6" s="1"/>
  <c r="I17" i="6"/>
  <c r="I31" i="6" s="1"/>
  <c r="M17" i="6"/>
  <c r="M31" i="6" s="1"/>
  <c r="L17" i="5"/>
  <c r="M12" i="5"/>
  <c r="J12" i="5"/>
  <c r="L18" i="5"/>
  <c r="K12" i="5"/>
  <c r="I17" i="5"/>
  <c r="L6" i="5"/>
  <c r="D26" i="6" l="1"/>
  <c r="C32" i="6"/>
  <c r="C23" i="6"/>
  <c r="L17" i="6"/>
  <c r="L31" i="6" s="1"/>
  <c r="L16" i="6"/>
  <c r="L14" i="6" s="1"/>
  <c r="K17" i="6"/>
  <c r="K31" i="6" s="1"/>
  <c r="K16" i="6"/>
  <c r="K14" i="6" s="1"/>
  <c r="J17" i="6"/>
  <c r="J31" i="6" s="1"/>
  <c r="J16" i="6"/>
  <c r="J14" i="6" s="1"/>
  <c r="M15" i="6"/>
  <c r="I15" i="6"/>
  <c r="D13" i="6"/>
  <c r="D33" i="6" s="1"/>
  <c r="D21" i="6"/>
  <c r="E25" i="6"/>
  <c r="D23" i="6"/>
  <c r="K18" i="5"/>
  <c r="K17" i="5"/>
  <c r="J17" i="5"/>
  <c r="J18" i="5"/>
  <c r="M17" i="5"/>
  <c r="M18" i="5"/>
  <c r="H31" i="5"/>
  <c r="B27" i="5"/>
  <c r="D26" i="5"/>
  <c r="E26" i="5" s="1"/>
  <c r="B22" i="5"/>
  <c r="L32" i="5"/>
  <c r="I32" i="5"/>
  <c r="H32" i="5"/>
  <c r="G18" i="5"/>
  <c r="F18" i="5"/>
  <c r="E18" i="5"/>
  <c r="D18" i="5"/>
  <c r="C18" i="5"/>
  <c r="B18" i="5"/>
  <c r="B34" i="5" s="1"/>
  <c r="H17" i="5"/>
  <c r="G17" i="5"/>
  <c r="F17" i="5"/>
  <c r="E17" i="5"/>
  <c r="D17" i="5"/>
  <c r="C17" i="5"/>
  <c r="B17" i="5"/>
  <c r="B15" i="5" s="1"/>
  <c r="L7" i="5"/>
  <c r="J7" i="5"/>
  <c r="D32" i="6" l="1"/>
  <c r="E26" i="6"/>
  <c r="C32" i="5"/>
  <c r="B32" i="5"/>
  <c r="B16" i="5"/>
  <c r="F32" i="5"/>
  <c r="G32" i="5"/>
  <c r="D32" i="5"/>
  <c r="E32" i="5"/>
  <c r="J32" i="5"/>
  <c r="K32" i="5"/>
  <c r="C27" i="5"/>
  <c r="D27" i="5" s="1"/>
  <c r="M32" i="5"/>
  <c r="K15" i="6"/>
  <c r="F25" i="6"/>
  <c r="J15" i="6"/>
  <c r="L15" i="6"/>
  <c r="E13" i="6"/>
  <c r="E21" i="6"/>
  <c r="D24" i="6"/>
  <c r="B33" i="5"/>
  <c r="C14" i="5" s="1"/>
  <c r="F26" i="5"/>
  <c r="C22" i="5"/>
  <c r="B24" i="5"/>
  <c r="B25" i="5"/>
  <c r="E32" i="6" l="1"/>
  <c r="F26" i="6"/>
  <c r="E33" i="6"/>
  <c r="C34" i="5"/>
  <c r="C16" i="5"/>
  <c r="C15" i="5"/>
  <c r="C25" i="5"/>
  <c r="G25" i="6"/>
  <c r="F13" i="6"/>
  <c r="F21" i="6"/>
  <c r="F23" i="6" s="1"/>
  <c r="E24" i="6"/>
  <c r="E23" i="6"/>
  <c r="E27" i="5"/>
  <c r="C33" i="5"/>
  <c r="D14" i="5" s="1"/>
  <c r="C24" i="5"/>
  <c r="D22" i="5"/>
  <c r="D25" i="5" s="1"/>
  <c r="G26" i="5"/>
  <c r="F32" i="6" l="1"/>
  <c r="G26" i="6"/>
  <c r="F33" i="6"/>
  <c r="D34" i="5"/>
  <c r="D16" i="5"/>
  <c r="D15" i="5"/>
  <c r="H25" i="6"/>
  <c r="I25" i="6" s="1"/>
  <c r="G13" i="6"/>
  <c r="G21" i="6"/>
  <c r="G23" i="6" s="1"/>
  <c r="F24" i="6"/>
  <c r="H26" i="5"/>
  <c r="I26" i="5" s="1"/>
  <c r="J26" i="5" s="1"/>
  <c r="K26" i="5" s="1"/>
  <c r="L26" i="5" s="1"/>
  <c r="M26" i="5" s="1"/>
  <c r="N26" i="5" s="1"/>
  <c r="D33" i="5"/>
  <c r="E22" i="5"/>
  <c r="E25" i="5" s="1"/>
  <c r="D24" i="5"/>
  <c r="F27" i="5"/>
  <c r="G32" i="6" l="1"/>
  <c r="H13" i="6" s="1"/>
  <c r="H33" i="6" s="1"/>
  <c r="H26" i="6"/>
  <c r="G33" i="6"/>
  <c r="E14" i="5"/>
  <c r="E34" i="5" s="1"/>
  <c r="H21" i="6"/>
  <c r="H23" i="6" s="1"/>
  <c r="G24" i="6"/>
  <c r="G27" i="5"/>
  <c r="F22" i="5"/>
  <c r="F25" i="5" s="1"/>
  <c r="E33" i="5"/>
  <c r="E24" i="5"/>
  <c r="I26" i="6" l="1"/>
  <c r="H32" i="6"/>
  <c r="I13" i="6" s="1"/>
  <c r="I33" i="6" s="1"/>
  <c r="E16" i="5"/>
  <c r="E15" i="5"/>
  <c r="F14" i="5"/>
  <c r="F34" i="5" s="1"/>
  <c r="J25" i="6"/>
  <c r="H28" i="6"/>
  <c r="I21" i="6"/>
  <c r="H29" i="6"/>
  <c r="H24" i="6"/>
  <c r="H27" i="5"/>
  <c r="I27" i="5" s="1"/>
  <c r="F33" i="5"/>
  <c r="G14" i="5" s="1"/>
  <c r="G22" i="5"/>
  <c r="F24" i="5"/>
  <c r="I32" i="6" l="1"/>
  <c r="J26" i="6"/>
  <c r="G34" i="5"/>
  <c r="F15" i="5"/>
  <c r="F16" i="5"/>
  <c r="G15" i="5"/>
  <c r="G16" i="5"/>
  <c r="J27" i="5"/>
  <c r="K27" i="5" s="1"/>
  <c r="L27" i="5" s="1"/>
  <c r="M27" i="5" s="1"/>
  <c r="N27" i="5" s="1"/>
  <c r="K25" i="6"/>
  <c r="J13" i="6"/>
  <c r="J21" i="6"/>
  <c r="I24" i="6"/>
  <c r="I23" i="6"/>
  <c r="G33" i="5"/>
  <c r="H14" i="5" s="1"/>
  <c r="H22" i="5"/>
  <c r="H25" i="5" s="1"/>
  <c r="G24" i="5"/>
  <c r="G25" i="5"/>
  <c r="J32" i="6" l="1"/>
  <c r="K13" i="6" s="1"/>
  <c r="K26" i="6"/>
  <c r="J33" i="6"/>
  <c r="H34" i="5"/>
  <c r="H16" i="5"/>
  <c r="H15" i="5"/>
  <c r="K23" i="6"/>
  <c r="L25" i="6"/>
  <c r="K21" i="6"/>
  <c r="J24" i="6"/>
  <c r="J23" i="6"/>
  <c r="H33" i="5"/>
  <c r="I14" i="5" s="1"/>
  <c r="I22" i="5"/>
  <c r="I25" i="5" s="1"/>
  <c r="H29" i="5"/>
  <c r="H30" i="5"/>
  <c r="H24" i="5"/>
  <c r="K32" i="6" l="1"/>
  <c r="L13" i="6" s="1"/>
  <c r="L26" i="6"/>
  <c r="K33" i="6"/>
  <c r="I34" i="5"/>
  <c r="I16" i="5"/>
  <c r="I15" i="5"/>
  <c r="M25" i="6"/>
  <c r="L21" i="6"/>
  <c r="K24" i="6"/>
  <c r="J22" i="5"/>
  <c r="I33" i="5"/>
  <c r="J14" i="5" s="1"/>
  <c r="I24" i="5"/>
  <c r="L33" i="6" l="1"/>
  <c r="L32" i="6"/>
  <c r="M26" i="6"/>
  <c r="J34" i="5"/>
  <c r="J16" i="5"/>
  <c r="J15" i="5"/>
  <c r="N25" i="6"/>
  <c r="M13" i="6"/>
  <c r="M33" i="6" s="1"/>
  <c r="M21" i="6"/>
  <c r="L24" i="6"/>
  <c r="L23" i="6"/>
  <c r="J33" i="5"/>
  <c r="K14" i="5" s="1"/>
  <c r="K22" i="5"/>
  <c r="K25" i="5" s="1"/>
  <c r="J24" i="5"/>
  <c r="J25" i="5"/>
  <c r="M32" i="6" l="1"/>
  <c r="N26" i="6"/>
  <c r="K34" i="5"/>
  <c r="K16" i="5"/>
  <c r="K15" i="5"/>
  <c r="M24" i="6"/>
  <c r="M23" i="6"/>
  <c r="L22" i="5"/>
  <c r="L25" i="5" s="1"/>
  <c r="K33" i="5"/>
  <c r="L14" i="5" s="1"/>
  <c r="K24" i="5"/>
  <c r="L34" i="5" l="1"/>
  <c r="L16" i="5"/>
  <c r="L15" i="5"/>
  <c r="L33" i="5"/>
  <c r="M14" i="5" s="1"/>
  <c r="M22" i="5"/>
  <c r="M25" i="5" s="1"/>
  <c r="L24" i="5"/>
  <c r="M34" i="5" l="1"/>
  <c r="M15" i="5"/>
  <c r="M16" i="5"/>
  <c r="M33" i="5"/>
  <c r="M24" i="5"/>
</calcChain>
</file>

<file path=xl/comments1.xml><?xml version="1.0" encoding="utf-8"?>
<comments xmlns="http://schemas.openxmlformats.org/spreadsheetml/2006/main">
  <authors>
    <author>Bodnár Mária</author>
  </authors>
  <commentList>
    <comment ref="I11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1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Bodnár Mária</author>
  </authors>
  <commentList>
    <comment ref="J10" authorId="0">
      <text>
        <r>
          <rPr>
            <b/>
            <sz val="12"/>
            <color indexed="81"/>
            <rFont val="Tahoma"/>
            <family val="2"/>
            <charset val="238"/>
          </rPr>
          <t>!fontos, hogy a csökkentést negatív előjellel kell megadni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0" authorId="0">
      <text>
        <r>
          <rPr>
            <b/>
            <sz val="18"/>
            <color indexed="81"/>
            <rFont val="Tahoma"/>
            <family val="2"/>
            <charset val="238"/>
          </rPr>
          <t>= az elérendő 75 % -kal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<sst xmlns="http://schemas.openxmlformats.org/spreadsheetml/2006/main" count="123" uniqueCount="41">
  <si>
    <t>Szerződött partner:</t>
  </si>
  <si>
    <t>Anyagáram:</t>
  </si>
  <si>
    <t>Vállalt mennyiség (kg)</t>
  </si>
  <si>
    <t>túlt.</t>
  </si>
  <si>
    <t>Időszak:</t>
  </si>
  <si>
    <t>alult.</t>
  </si>
  <si>
    <t>Tervezési időszakok Teljesítése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</si>
  <si>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</si>
  <si>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</si>
  <si>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</si>
  <si>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</si>
  <si>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</si>
  <si>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</si>
  <si>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</si>
  <si>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</si>
  <si>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</si>
  <si>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</si>
  <si>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</si>
  <si>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</si>
  <si>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95% arány</t>
  </si>
  <si>
    <t>110% arány</t>
  </si>
  <si>
    <t>JAN–</t>
  </si>
  <si>
    <t>75% arány</t>
  </si>
  <si>
    <t>Havi 110% fölötti eltérés</t>
  </si>
  <si>
    <t xml:space="preserve">1/12 </t>
  </si>
  <si>
    <t>Módosítás időarányos</t>
  </si>
  <si>
    <t>Módosítás összesen figyelembe vehető hónapban</t>
  </si>
  <si>
    <t>Alul és -túlteljesítés ellenőrzés(kg)(-ha a 09-havi váll.menny. módosítását elfogadtuk)</t>
  </si>
  <si>
    <t>Alul és -túlteljesítés ellenőrzés(kg)(-ha a 08-havi váll.menny. módosítását elfogadtuk)</t>
  </si>
  <si>
    <t>Módosítás összesen, a figyelembe vehető hónapban</t>
  </si>
  <si>
    <t>Előző időszakról áthozott</t>
  </si>
  <si>
    <r>
      <t xml:space="preserve">Teljesítés </t>
    </r>
    <r>
      <rPr>
        <b/>
        <sz val="16"/>
        <rFont val="Symbol"/>
        <family val="1"/>
        <charset val="2"/>
      </rPr>
      <t>S</t>
    </r>
  </si>
  <si>
    <r>
      <t xml:space="preserve">Következő időszakra átvihető /110% fölötti eltérés </t>
    </r>
    <r>
      <rPr>
        <b/>
        <sz val="16"/>
        <rFont val="Symbol"/>
        <family val="1"/>
        <charset val="2"/>
      </rPr>
      <t>S</t>
    </r>
  </si>
  <si>
    <t>Időszakban Hasznosításra átadott mennyiség</t>
  </si>
  <si>
    <t>TÁRGYIDŐSZAKBAN ELSZÁMOLHATÓ mennyiség</t>
  </si>
  <si>
    <t xml:space="preserve"> =     HA(A1=0;0;HA(A1=1;0;HA(A1=2;0;HA(A1=3;1;HA(A1=4;1;HA(A1=5;2;HA(A1=6;2;"Hibás adat")))))))</t>
  </si>
  <si>
    <t>Közszolgáltató Np. Kft.</t>
  </si>
  <si>
    <t>ÜVEG vegyes</t>
  </si>
  <si>
    <t>2014 év</t>
  </si>
  <si>
    <r>
      <rPr>
        <b/>
        <i/>
        <u/>
        <sz val="20"/>
        <rFont val="Arial"/>
        <family val="2"/>
        <charset val="238"/>
      </rPr>
      <t>Példa:</t>
    </r>
    <r>
      <rPr>
        <b/>
        <i/>
        <sz val="20"/>
        <rFont val="Arial"/>
        <family val="2"/>
        <charset val="238"/>
      </rPr>
      <t xml:space="preserve"> </t>
    </r>
    <r>
      <rPr>
        <i/>
        <sz val="20"/>
        <rFont val="Arial"/>
        <family val="2"/>
        <charset val="238"/>
      </rPr>
      <t>A Közszolgáltató Kft 2014-re 12.000 t Vegyes üveg hasznosítását vállalta. 2014.08.01-vel módosítani kívánja vállalását és évi 30.000 t vállal. ( a vállalás +18.000 t növekedést jelent amit augusztustól havi emelt időarányos mennyiséggel vehet figyelembe (a korábbi 1100 kg helyett max csak 5060 kg vehető figyelembe a módosítás után))</t>
    </r>
    <r>
      <rPr>
        <i/>
        <u/>
        <sz val="20"/>
        <rFont val="Arial"/>
        <family val="2"/>
        <charset val="238"/>
      </rPr>
      <t>(Kérelme elfogadásáról tárgyhót követő 20-ig értesül!!)</t>
    </r>
  </si>
  <si>
    <r>
      <rPr>
        <b/>
        <i/>
        <u/>
        <sz val="20"/>
        <rFont val="Arial"/>
        <family val="2"/>
        <charset val="238"/>
      </rPr>
      <t>Példa:</t>
    </r>
    <r>
      <rPr>
        <b/>
        <i/>
        <sz val="20"/>
        <rFont val="Arial"/>
        <family val="2"/>
        <charset val="238"/>
      </rPr>
      <t xml:space="preserve"> </t>
    </r>
    <r>
      <rPr>
        <i/>
        <sz val="20"/>
        <rFont val="Arial"/>
        <family val="2"/>
        <charset val="238"/>
      </rPr>
      <t xml:space="preserve"> Közszolgáltató Kft 2014-re 20.000 t Papír(hullám) hasznosítását vállalta. 2014.09.01-vel módosítani kívánja vállalását és évi 17.000 t vállal. ( a vállalás -3.000 t csökkenést jelent amit októbertől havi csökkentett időarányos mennyiséggel vehet figyelembe (1833 kg helyett csak max 1008 kg vehető figyelembe a módosítás után))</t>
    </r>
    <r>
      <rPr>
        <i/>
        <u/>
        <sz val="20"/>
        <rFont val="Arial"/>
        <family val="2"/>
        <charset val="238"/>
      </rPr>
      <t>(Kérelme elfogadásáról tárgyhót követő 20-ig értesül!!)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</si>
</sst>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36" x14ac:knownFonts="1"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2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8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Symbol"/>
      <family val="1"/>
      <charset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rgb="FFFFFFFF"/>
      <name val="Segoe UI"/>
      <family val="2"/>
      <charset val="238"/>
    </font>
    <font>
      <i/>
      <sz val="20"/>
      <name val="Arial"/>
      <family val="2"/>
      <charset val="238"/>
    </font>
    <font>
      <b/>
      <i/>
      <u/>
      <sz val="20"/>
      <name val="Arial"/>
      <family val="2"/>
      <charset val="238"/>
    </font>
    <font>
      <b/>
      <i/>
      <sz val="20"/>
      <name val="Arial"/>
      <family val="2"/>
      <charset val="238"/>
    </font>
    <font>
      <i/>
      <u/>
      <sz val="2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64" fontId="9" fillId="2" borderId="17" xfId="0" applyNumberFormat="1" applyFont="1" applyFill="1" applyBorder="1" applyProtection="1">
      <protection hidden="1"/>
    </xf>
    <xf numFmtId="164" fontId="10" fillId="0" borderId="16" xfId="0" applyNumberFormat="1" applyFont="1" applyFill="1" applyBorder="1" applyAlignment="1" applyProtection="1">
      <alignment horizontal="center"/>
      <protection hidden="1"/>
    </xf>
    <xf numFmtId="164" fontId="10" fillId="0" borderId="17" xfId="0" applyNumberFormat="1" applyFont="1" applyFill="1" applyBorder="1" applyAlignment="1" applyProtection="1">
      <alignment horizontal="center"/>
      <protection hidden="1"/>
    </xf>
    <xf numFmtId="3" fontId="9" fillId="0" borderId="18" xfId="0" applyNumberFormat="1" applyFont="1" applyFill="1" applyBorder="1" applyProtection="1">
      <protection hidden="1"/>
    </xf>
    <xf numFmtId="3" fontId="9" fillId="0" borderId="19" xfId="0" applyNumberFormat="1" applyFont="1" applyFill="1" applyBorder="1" applyProtection="1">
      <protection hidden="1"/>
    </xf>
    <xf numFmtId="164" fontId="9" fillId="7" borderId="16" xfId="0" applyNumberFormat="1" applyFont="1" applyFill="1" applyBorder="1" applyProtection="1">
      <protection hidden="1"/>
    </xf>
    <xf numFmtId="164" fontId="9" fillId="7" borderId="17" xfId="0" applyNumberFormat="1" applyFont="1" applyFill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7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9" fillId="0" borderId="15" xfId="0" applyFont="1" applyBorder="1" applyAlignment="1" applyProtection="1">
      <alignment horizontal="center"/>
      <protection hidden="1"/>
    </xf>
    <xf numFmtId="164" fontId="9" fillId="8" borderId="20" xfId="0" applyNumberFormat="1" applyFont="1" applyFill="1" applyBorder="1" applyProtection="1">
      <protection hidden="1"/>
    </xf>
    <xf numFmtId="164" fontId="9" fillId="8" borderId="21" xfId="0" applyNumberFormat="1" applyFont="1" applyFill="1" applyBorder="1" applyProtection="1">
      <protection hidden="1"/>
    </xf>
    <xf numFmtId="164" fontId="9" fillId="2" borderId="22" xfId="0" applyNumberFormat="1" applyFont="1" applyFill="1" applyBorder="1" applyProtection="1">
      <protection hidden="1"/>
    </xf>
    <xf numFmtId="164" fontId="10" fillId="0" borderId="23" xfId="0" applyNumberFormat="1" applyFont="1" applyFill="1" applyBorder="1" applyAlignment="1" applyProtection="1">
      <alignment horizontal="center"/>
      <protection hidden="1"/>
    </xf>
    <xf numFmtId="164" fontId="10" fillId="0" borderId="19" xfId="0" applyNumberFormat="1" applyFont="1" applyFill="1" applyBorder="1" applyAlignment="1" applyProtection="1">
      <alignment horizontal="center"/>
      <protection hidden="1"/>
    </xf>
    <xf numFmtId="3" fontId="9" fillId="0" borderId="24" xfId="0" applyNumberFormat="1" applyFont="1" applyFill="1" applyBorder="1" applyProtection="1">
      <protection hidden="1"/>
    </xf>
    <xf numFmtId="3" fontId="9" fillId="0" borderId="25" xfId="0" applyNumberFormat="1" applyFont="1" applyFill="1" applyBorder="1" applyProtection="1">
      <protection hidden="1"/>
    </xf>
    <xf numFmtId="3" fontId="9" fillId="0" borderId="26" xfId="0" applyNumberFormat="1" applyFont="1" applyFill="1" applyBorder="1" applyProtection="1">
      <protection hidden="1"/>
    </xf>
    <xf numFmtId="3" fontId="9" fillId="0" borderId="27" xfId="0" applyNumberFormat="1" applyFont="1" applyFill="1" applyBorder="1" applyProtection="1">
      <protection hidden="1"/>
    </xf>
    <xf numFmtId="3" fontId="9" fillId="0" borderId="28" xfId="0" applyNumberFormat="1" applyFont="1" applyFill="1" applyBorder="1" applyProtection="1">
      <protection hidden="1"/>
    </xf>
    <xf numFmtId="3" fontId="9" fillId="0" borderId="29" xfId="0" applyNumberFormat="1" applyFont="1" applyFill="1" applyBorder="1" applyProtection="1">
      <protection hidden="1"/>
    </xf>
    <xf numFmtId="164" fontId="9" fillId="2" borderId="30" xfId="0" applyNumberFormat="1" applyFont="1" applyFill="1" applyBorder="1" applyProtection="1">
      <protection hidden="1"/>
    </xf>
    <xf numFmtId="164" fontId="9" fillId="2" borderId="31" xfId="0" applyNumberFormat="1" applyFont="1" applyFill="1" applyBorder="1" applyProtection="1">
      <protection hidden="1"/>
    </xf>
    <xf numFmtId="164" fontId="9" fillId="2" borderId="32" xfId="0" applyNumberFormat="1" applyFont="1" applyFill="1" applyBorder="1" applyProtection="1">
      <protection hidden="1"/>
    </xf>
    <xf numFmtId="164" fontId="9" fillId="2" borderId="33" xfId="0" applyNumberFormat="1" applyFont="1" applyFill="1" applyBorder="1" applyProtection="1">
      <protection hidden="1"/>
    </xf>
    <xf numFmtId="164" fontId="10" fillId="0" borderId="34" xfId="0" applyNumberFormat="1" applyFont="1" applyFill="1" applyBorder="1" applyAlignment="1" applyProtection="1">
      <alignment horizontal="center"/>
      <protection hidden="1"/>
    </xf>
    <xf numFmtId="3" fontId="4" fillId="0" borderId="35" xfId="0" applyNumberFormat="1" applyFont="1" applyFill="1" applyBorder="1" applyProtection="1">
      <protection hidden="1"/>
    </xf>
    <xf numFmtId="164" fontId="14" fillId="0" borderId="16" xfId="0" applyNumberFormat="1" applyFont="1" applyFill="1" applyBorder="1" applyAlignment="1" applyProtection="1">
      <alignment horizontal="center"/>
      <protection hidden="1"/>
    </xf>
    <xf numFmtId="164" fontId="14" fillId="0" borderId="17" xfId="0" applyNumberFormat="1" applyFont="1" applyFill="1" applyBorder="1" applyAlignment="1" applyProtection="1">
      <alignment horizontal="center"/>
      <protection hidden="1"/>
    </xf>
    <xf numFmtId="0" fontId="0" fillId="7" borderId="18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19" fillId="0" borderId="5" xfId="0" applyFont="1" applyBorder="1" applyAlignment="1" applyProtection="1">
      <alignment horizontal="right" wrapText="1"/>
      <protection hidden="1"/>
    </xf>
    <xf numFmtId="164" fontId="28" fillId="0" borderId="17" xfId="0" applyNumberFormat="1" applyFont="1" applyFill="1" applyBorder="1" applyAlignment="1" applyProtection="1">
      <alignment horizontal="center"/>
      <protection hidden="1"/>
    </xf>
    <xf numFmtId="3" fontId="5" fillId="0" borderId="18" xfId="0" applyNumberFormat="1" applyFont="1" applyFill="1" applyBorder="1" applyProtection="1">
      <protection hidden="1"/>
    </xf>
    <xf numFmtId="3" fontId="5" fillId="0" borderId="19" xfId="0" applyNumberFormat="1" applyFont="1" applyFill="1" applyBorder="1" applyProtection="1">
      <protection hidden="1"/>
    </xf>
    <xf numFmtId="164" fontId="5" fillId="7" borderId="16" xfId="0" applyNumberFormat="1" applyFont="1" applyFill="1" applyBorder="1" applyProtection="1">
      <protection hidden="1"/>
    </xf>
    <xf numFmtId="164" fontId="5" fillId="7" borderId="17" xfId="0" applyNumberFormat="1" applyFont="1" applyFill="1" applyBorder="1" applyProtection="1"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22" fillId="0" borderId="14" xfId="0" applyFont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164" fontId="5" fillId="8" borderId="20" xfId="0" applyNumberFormat="1" applyFont="1" applyFill="1" applyBorder="1" applyProtection="1">
      <protection hidden="1"/>
    </xf>
    <xf numFmtId="164" fontId="5" fillId="8" borderId="21" xfId="0" applyNumberFormat="1" applyFont="1" applyFill="1" applyBorder="1" applyProtection="1">
      <protection hidden="1"/>
    </xf>
    <xf numFmtId="164" fontId="5" fillId="2" borderId="22" xfId="0" applyNumberFormat="1" applyFont="1" applyFill="1" applyBorder="1" applyProtection="1">
      <protection hidden="1"/>
    </xf>
    <xf numFmtId="164" fontId="5" fillId="2" borderId="17" xfId="0" applyNumberFormat="1" applyFont="1" applyFill="1" applyBorder="1" applyProtection="1">
      <protection hidden="1"/>
    </xf>
    <xf numFmtId="164" fontId="28" fillId="0" borderId="16" xfId="0" applyNumberFormat="1" applyFont="1" applyFill="1" applyBorder="1" applyAlignment="1" applyProtection="1">
      <alignment horizontal="center"/>
      <protection hidden="1"/>
    </xf>
    <xf numFmtId="164" fontId="28" fillId="0" borderId="23" xfId="0" applyNumberFormat="1" applyFont="1" applyFill="1" applyBorder="1" applyAlignment="1" applyProtection="1">
      <alignment horizontal="center"/>
      <protection hidden="1"/>
    </xf>
    <xf numFmtId="164" fontId="28" fillId="0" borderId="19" xfId="0" applyNumberFormat="1" applyFont="1" applyFill="1" applyBorder="1" applyAlignment="1" applyProtection="1">
      <alignment horizontal="center"/>
      <protection hidden="1"/>
    </xf>
    <xf numFmtId="3" fontId="5" fillId="0" borderId="24" xfId="0" applyNumberFormat="1" applyFont="1" applyFill="1" applyBorder="1" applyProtection="1">
      <protection hidden="1"/>
    </xf>
    <xf numFmtId="3" fontId="5" fillId="0" borderId="25" xfId="0" applyNumberFormat="1" applyFont="1" applyFill="1" applyBorder="1" applyProtection="1">
      <protection hidden="1"/>
    </xf>
    <xf numFmtId="3" fontId="5" fillId="0" borderId="26" xfId="0" applyNumberFormat="1" applyFont="1" applyFill="1" applyBorder="1" applyProtection="1">
      <protection hidden="1"/>
    </xf>
    <xf numFmtId="3" fontId="5" fillId="0" borderId="27" xfId="0" applyNumberFormat="1" applyFont="1" applyFill="1" applyBorder="1" applyProtection="1">
      <protection hidden="1"/>
    </xf>
    <xf numFmtId="3" fontId="5" fillId="0" borderId="28" xfId="0" applyNumberFormat="1" applyFont="1" applyFill="1" applyBorder="1" applyProtection="1">
      <protection hidden="1"/>
    </xf>
    <xf numFmtId="3" fontId="5" fillId="0" borderId="29" xfId="0" applyNumberFormat="1" applyFont="1" applyFill="1" applyBorder="1" applyProtection="1">
      <protection hidden="1"/>
    </xf>
    <xf numFmtId="164" fontId="5" fillId="2" borderId="30" xfId="0" applyNumberFormat="1" applyFont="1" applyFill="1" applyBorder="1" applyProtection="1">
      <protection hidden="1"/>
    </xf>
    <xf numFmtId="164" fontId="5" fillId="2" borderId="31" xfId="0" applyNumberFormat="1" applyFont="1" applyFill="1" applyBorder="1" applyProtection="1">
      <protection hidden="1"/>
    </xf>
    <xf numFmtId="164" fontId="5" fillId="2" borderId="32" xfId="0" applyNumberFormat="1" applyFont="1" applyFill="1" applyBorder="1" applyProtection="1">
      <protection hidden="1"/>
    </xf>
    <xf numFmtId="164" fontId="5" fillId="2" borderId="33" xfId="0" applyNumberFormat="1" applyFont="1" applyFill="1" applyBorder="1" applyProtection="1">
      <protection hidden="1"/>
    </xf>
    <xf numFmtId="164" fontId="28" fillId="0" borderId="34" xfId="0" applyNumberFormat="1" applyFont="1" applyFill="1" applyBorder="1" applyAlignment="1" applyProtection="1">
      <alignment horizontal="center"/>
      <protection hidden="1"/>
    </xf>
    <xf numFmtId="3" fontId="5" fillId="0" borderId="35" xfId="0" applyNumberFormat="1" applyFont="1" applyFill="1" applyBorder="1" applyProtection="1">
      <protection hidden="1"/>
    </xf>
    <xf numFmtId="165" fontId="5" fillId="3" borderId="5" xfId="0" applyNumberFormat="1" applyFont="1" applyFill="1" applyBorder="1" applyProtection="1">
      <protection hidden="1"/>
    </xf>
    <xf numFmtId="0" fontId="20" fillId="0" borderId="5" xfId="0" applyFont="1" applyBorder="1" applyAlignment="1" applyProtection="1">
      <alignment horizontal="right" wrapText="1"/>
      <protection hidden="1"/>
    </xf>
    <xf numFmtId="0" fontId="20" fillId="0" borderId="0" xfId="0" applyFont="1" applyAlignment="1" applyProtection="1">
      <alignment horizontal="right" wrapText="1"/>
      <protection hidden="1"/>
    </xf>
    <xf numFmtId="0" fontId="19" fillId="0" borderId="7" xfId="0" applyFont="1" applyBorder="1" applyAlignment="1" applyProtection="1">
      <alignment horizontal="right" wrapText="1"/>
      <protection hidden="1"/>
    </xf>
    <xf numFmtId="0" fontId="19" fillId="11" borderId="5" xfId="0" applyFont="1" applyFill="1" applyBorder="1" applyAlignment="1" applyProtection="1">
      <alignment horizontal="right" wrapText="1"/>
      <protection hidden="1"/>
    </xf>
    <xf numFmtId="165" fontId="5" fillId="11" borderId="5" xfId="0" applyNumberFormat="1" applyFont="1" applyFill="1" applyBorder="1" applyProtection="1">
      <protection hidden="1"/>
    </xf>
    <xf numFmtId="3" fontId="5" fillId="11" borderId="18" xfId="0" applyNumberFormat="1" applyFont="1" applyFill="1" applyBorder="1" applyProtection="1"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4" fontId="5" fillId="0" borderId="19" xfId="0" applyNumberFormat="1" applyFont="1" applyFill="1" applyBorder="1" applyAlignment="1" applyProtection="1">
      <alignment horizontal="center"/>
      <protection hidden="1"/>
    </xf>
    <xf numFmtId="164" fontId="5" fillId="0" borderId="23" xfId="0" applyNumberFormat="1" applyFont="1" applyFill="1" applyBorder="1" applyAlignment="1" applyProtection="1">
      <alignment horizontal="center"/>
      <protection hidden="1"/>
    </xf>
    <xf numFmtId="3" fontId="6" fillId="8" borderId="5" xfId="0" applyNumberFormat="1" applyFont="1" applyFill="1" applyBorder="1" applyProtection="1">
      <protection hidden="1"/>
    </xf>
    <xf numFmtId="0" fontId="20" fillId="0" borderId="5" xfId="0" applyFont="1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right"/>
      <protection hidden="1"/>
    </xf>
    <xf numFmtId="0" fontId="19" fillId="0" borderId="7" xfId="0" applyFont="1" applyBorder="1" applyAlignment="1" applyProtection="1">
      <alignment horizontal="right"/>
      <protection hidden="1"/>
    </xf>
    <xf numFmtId="0" fontId="23" fillId="3" borderId="42" xfId="0" applyFont="1" applyFill="1" applyBorder="1" applyAlignment="1" applyProtection="1">
      <alignment horizontal="left"/>
    </xf>
    <xf numFmtId="0" fontId="23" fillId="3" borderId="4" xfId="0" applyFont="1" applyFill="1" applyBorder="1" applyAlignment="1" applyProtection="1">
      <alignment horizontal="left"/>
    </xf>
    <xf numFmtId="0" fontId="15" fillId="10" borderId="39" xfId="0" applyFont="1" applyFill="1" applyBorder="1" applyAlignment="1" applyProtection="1">
      <alignment horizontal="right"/>
      <protection hidden="1"/>
    </xf>
    <xf numFmtId="0" fontId="15" fillId="10" borderId="40" xfId="0" applyFont="1" applyFill="1" applyBorder="1" applyAlignment="1" applyProtection="1">
      <alignment horizontal="right"/>
      <protection hidden="1"/>
    </xf>
    <xf numFmtId="0" fontId="15" fillId="10" borderId="41" xfId="0" applyFont="1" applyFill="1" applyBorder="1" applyAlignment="1" applyProtection="1">
      <alignment horizontal="right"/>
      <protection hidden="1"/>
    </xf>
    <xf numFmtId="0" fontId="15" fillId="10" borderId="39" xfId="0" applyFont="1" applyFill="1" applyBorder="1" applyAlignment="1" applyProtection="1">
      <alignment horizontal="right"/>
    </xf>
    <xf numFmtId="0" fontId="15" fillId="10" borderId="40" xfId="0" applyFont="1" applyFill="1" applyBorder="1" applyAlignment="1" applyProtection="1">
      <alignment horizontal="right"/>
    </xf>
    <xf numFmtId="0" fontId="15" fillId="10" borderId="41" xfId="0" applyFont="1" applyFill="1" applyBorder="1" applyAlignment="1" applyProtection="1">
      <alignment horizontal="right"/>
    </xf>
    <xf numFmtId="0" fontId="32" fillId="0" borderId="39" xfId="0" applyFont="1" applyBorder="1" applyAlignment="1" applyProtection="1">
      <alignment horizontal="left" vertical="top" wrapText="1"/>
      <protection hidden="1"/>
    </xf>
    <xf numFmtId="0" fontId="32" fillId="0" borderId="40" xfId="0" applyFont="1" applyBorder="1" applyAlignment="1" applyProtection="1">
      <alignment horizontal="left" vertical="top" wrapText="1"/>
      <protection hidden="1"/>
    </xf>
    <xf numFmtId="0" fontId="32" fillId="0" borderId="41" xfId="0" applyFont="1" applyBorder="1" applyAlignment="1" applyProtection="1">
      <alignment horizontal="left" vertical="top" wrapText="1"/>
      <protection hidden="1"/>
    </xf>
    <xf numFmtId="0" fontId="23" fillId="3" borderId="3" xfId="0" applyFont="1" applyFill="1" applyBorder="1" applyAlignment="1" applyProtection="1">
      <alignment horizontal="left"/>
    </xf>
    <xf numFmtId="0" fontId="0" fillId="0" borderId="0" xfId="0" applyProtection="1"/>
    <xf numFmtId="0" fontId="3" fillId="2" borderId="39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23" fillId="4" borderId="42" xfId="0" applyFont="1" applyFill="1" applyBorder="1" applyAlignment="1" applyProtection="1">
      <alignment horizontal="center"/>
    </xf>
    <xf numFmtId="0" fontId="24" fillId="0" borderId="0" xfId="0" applyFont="1" applyProtection="1"/>
    <xf numFmtId="49" fontId="25" fillId="0" borderId="0" xfId="0" applyNumberFormat="1" applyFont="1" applyAlignment="1" applyProtection="1">
      <alignment horizontal="right"/>
    </xf>
    <xf numFmtId="0" fontId="23" fillId="4" borderId="4" xfId="0" applyFont="1" applyFill="1" applyBorder="1" applyAlignment="1" applyProtection="1">
      <alignment horizontal="center"/>
    </xf>
    <xf numFmtId="0" fontId="23" fillId="0" borderId="5" xfId="0" applyFont="1" applyBorder="1" applyAlignment="1" applyProtection="1">
      <alignment horizontal="center"/>
    </xf>
    <xf numFmtId="3" fontId="23" fillId="5" borderId="5" xfId="0" applyNumberFormat="1" applyFont="1" applyFill="1" applyBorder="1" applyProtection="1"/>
    <xf numFmtId="3" fontId="23" fillId="0" borderId="0" xfId="0" applyNumberFormat="1" applyFont="1" applyProtection="1"/>
    <xf numFmtId="0" fontId="26" fillId="3" borderId="6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indent="2"/>
    </xf>
    <xf numFmtId="0" fontId="23" fillId="4" borderId="8" xfId="0" applyFont="1" applyFill="1" applyBorder="1" applyAlignment="1" applyProtection="1">
      <alignment horizontal="center"/>
    </xf>
    <xf numFmtId="9" fontId="24" fillId="0" borderId="0" xfId="0" applyNumberFormat="1" applyFont="1" applyProtection="1"/>
    <xf numFmtId="0" fontId="24" fillId="0" borderId="0" xfId="0" applyFont="1" applyAlignment="1" applyProtection="1">
      <alignment horizontal="left"/>
    </xf>
    <xf numFmtId="0" fontId="27" fillId="3" borderId="2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 indent="2"/>
    </xf>
    <xf numFmtId="0" fontId="23" fillId="0" borderId="9" xfId="0" applyFont="1" applyBorder="1" applyAlignment="1" applyProtection="1">
      <alignment horizontal="center"/>
    </xf>
    <xf numFmtId="0" fontId="23" fillId="0" borderId="10" xfId="0" applyFont="1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31" fillId="0" borderId="0" xfId="0" applyFont="1" applyProtection="1"/>
    <xf numFmtId="0" fontId="23" fillId="0" borderId="12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/>
    </xf>
    <xf numFmtId="0" fontId="23" fillId="0" borderId="23" xfId="0" applyFont="1" applyBorder="1" applyAlignment="1" applyProtection="1">
      <alignment horizontal="center" vertical="center"/>
    </xf>
    <xf numFmtId="0" fontId="0" fillId="9" borderId="18" xfId="0" applyFill="1" applyBorder="1" applyProtection="1"/>
    <xf numFmtId="9" fontId="0" fillId="0" borderId="0" xfId="0" applyNumberFormat="1" applyAlignment="1" applyProtection="1">
      <alignment horizontal="left"/>
    </xf>
    <xf numFmtId="0" fontId="15" fillId="10" borderId="37" xfId="0" applyFont="1" applyFill="1" applyBorder="1" applyAlignment="1" applyProtection="1">
      <alignment horizontal="right"/>
    </xf>
    <xf numFmtId="0" fontId="15" fillId="10" borderId="36" xfId="0" applyFont="1" applyFill="1" applyBorder="1" applyAlignment="1" applyProtection="1">
      <alignment horizontal="right"/>
    </xf>
    <xf numFmtId="0" fontId="15" fillId="10" borderId="29" xfId="0" applyFont="1" applyFill="1" applyBorder="1" applyAlignment="1" applyProtection="1">
      <alignment horizontal="right"/>
    </xf>
    <xf numFmtId="0" fontId="19" fillId="0" borderId="38" xfId="0" applyFont="1" applyBorder="1" applyAlignment="1" applyProtection="1">
      <alignment horizontal="right" wrapText="1"/>
    </xf>
    <xf numFmtId="3" fontId="5" fillId="6" borderId="16" xfId="0" applyNumberFormat="1" applyFont="1" applyFill="1" applyBorder="1" applyProtection="1"/>
    <xf numFmtId="3" fontId="5" fillId="6" borderId="17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9" fillId="11" borderId="7" xfId="0" applyFont="1" applyFill="1" applyBorder="1" applyAlignment="1" applyProtection="1">
      <alignment horizontal="right" wrapText="1"/>
    </xf>
    <xf numFmtId="0" fontId="20" fillId="0" borderId="7" xfId="0" applyFont="1" applyBorder="1" applyAlignment="1" applyProtection="1">
      <alignment horizontal="right" wrapText="1"/>
    </xf>
    <xf numFmtId="0" fontId="19" fillId="0" borderId="7" xfId="0" applyFont="1" applyBorder="1" applyAlignment="1" applyProtection="1">
      <alignment horizontal="right" wrapText="1"/>
    </xf>
    <xf numFmtId="3" fontId="0" fillId="0" borderId="0" xfId="0" applyNumberFormat="1" applyProtection="1"/>
    <xf numFmtId="0" fontId="19" fillId="8" borderId="5" xfId="0" applyFont="1" applyFill="1" applyBorder="1" applyAlignment="1" applyProtection="1">
      <alignment horizontal="right" wrapText="1"/>
    </xf>
    <xf numFmtId="0" fontId="1" fillId="0" borderId="1" xfId="0" applyFont="1" applyBorder="1" applyProtection="1"/>
    <xf numFmtId="0" fontId="0" fillId="0" borderId="1" xfId="0" applyBorder="1" applyProtection="1"/>
    <xf numFmtId="0" fontId="2" fillId="0" borderId="1" xfId="0" applyFont="1" applyBorder="1" applyProtection="1"/>
    <xf numFmtId="0" fontId="11" fillId="0" borderId="0" xfId="0" applyFont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right"/>
    </xf>
    <xf numFmtId="0" fontId="5" fillId="0" borderId="5" xfId="0" applyFont="1" applyBorder="1" applyAlignment="1" applyProtection="1">
      <alignment horizontal="center"/>
    </xf>
    <xf numFmtId="3" fontId="6" fillId="5" borderId="5" xfId="0" applyNumberFormat="1" applyFont="1" applyFill="1" applyBorder="1" applyProtection="1"/>
    <xf numFmtId="3" fontId="12" fillId="0" borderId="0" xfId="0" applyNumberFormat="1" applyFont="1" applyProtection="1"/>
    <xf numFmtId="0" fontId="7" fillId="3" borderId="6" xfId="0" applyFont="1" applyFill="1" applyBorder="1" applyAlignment="1" applyProtection="1">
      <alignment horizontal="center" vertical="center"/>
    </xf>
    <xf numFmtId="9" fontId="0" fillId="0" borderId="0" xfId="0" applyNumberFormat="1" applyProtection="1"/>
    <xf numFmtId="0" fontId="8" fillId="3" borderId="2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20" fillId="0" borderId="7" xfId="0" applyFont="1" applyBorder="1" applyProtection="1"/>
    <xf numFmtId="0" fontId="19" fillId="0" borderId="7" xfId="0" applyFont="1" applyBorder="1" applyAlignment="1" applyProtection="1">
      <alignment horizontal="right"/>
    </xf>
    <xf numFmtId="0" fontId="20" fillId="0" borderId="7" xfId="0" applyFont="1" applyBorder="1" applyAlignment="1" applyProtection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111928</xdr:colOff>
      <xdr:row>11</xdr:row>
      <xdr:rowOff>32289</xdr:rowOff>
    </xdr:from>
    <xdr:to>
      <xdr:col>17</xdr:col>
      <xdr:colOff>95249</xdr:colOff>
      <xdr:row>13</xdr:row>
      <xdr:rowOff>290594</xdr:rowOff>
    </xdr:to>
    <xdr:sp macro="" textlink="">
      <xdr:nvSpPr>
        <xdr:cNvPr id="2" name="Jobbra nyíl 1"/>
        <xdr:cNvSpPr/>
      </xdr:nvSpPr>
      <xdr:spPr>
        <a:xfrm flipH="1">
          <a:off x="17098178" y="2858039"/>
          <a:ext cx="2682071" cy="1163180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1072300</xdr:colOff>
      <xdr:row>3</xdr:row>
      <xdr:rowOff>104987</xdr:rowOff>
    </xdr:from>
    <xdr:to>
      <xdr:col>12</xdr:col>
      <xdr:colOff>238125</xdr:colOff>
      <xdr:row>4</xdr:row>
      <xdr:rowOff>158750</xdr:rowOff>
    </xdr:to>
    <xdr:sp macro="" textlink="">
      <xdr:nvSpPr>
        <xdr:cNvPr id="3" name="Jobbra nyíl 2"/>
        <xdr:cNvSpPr/>
      </xdr:nvSpPr>
      <xdr:spPr>
        <a:xfrm flipH="1">
          <a:off x="14820050" y="374862"/>
          <a:ext cx="1324825" cy="56176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291398</xdr:colOff>
      <xdr:row>5</xdr:row>
      <xdr:rowOff>192925</xdr:rowOff>
    </xdr:from>
    <xdr:to>
      <xdr:col>8</xdr:col>
      <xdr:colOff>727291</xdr:colOff>
      <xdr:row>7</xdr:row>
      <xdr:rowOff>127003</xdr:rowOff>
    </xdr:to>
    <xdr:sp macro="" textlink="">
      <xdr:nvSpPr>
        <xdr:cNvPr id="7" name="Jobbra nyíl 6"/>
        <xdr:cNvSpPr/>
      </xdr:nvSpPr>
      <xdr:spPr>
        <a:xfrm flipH="1">
          <a:off x="11689648" y="2685300"/>
          <a:ext cx="1690018" cy="664328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7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396875</xdr:colOff>
      <xdr:row>1</xdr:row>
      <xdr:rowOff>508000</xdr:rowOff>
    </xdr:from>
    <xdr:to>
      <xdr:col>8</xdr:col>
      <xdr:colOff>666750</xdr:colOff>
      <xdr:row>10</xdr:row>
      <xdr:rowOff>190500</xdr:rowOff>
    </xdr:to>
    <xdr:cxnSp macro="">
      <xdr:nvCxnSpPr>
        <xdr:cNvPr id="5" name="Egyenes összekötő nyíllal 4"/>
        <xdr:cNvCxnSpPr/>
      </xdr:nvCxnSpPr>
      <xdr:spPr>
        <a:xfrm>
          <a:off x="7794625" y="730250"/>
          <a:ext cx="5286375" cy="30480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1</xdr:row>
      <xdr:rowOff>857250</xdr:rowOff>
    </xdr:from>
    <xdr:to>
      <xdr:col>8</xdr:col>
      <xdr:colOff>603250</xdr:colOff>
      <xdr:row>17</xdr:row>
      <xdr:rowOff>142875</xdr:rowOff>
    </xdr:to>
    <xdr:cxnSp macro="">
      <xdr:nvCxnSpPr>
        <xdr:cNvPr id="8" name="Egyenes összekötő nyíllal 7"/>
        <xdr:cNvCxnSpPr/>
      </xdr:nvCxnSpPr>
      <xdr:spPr>
        <a:xfrm>
          <a:off x="8064500" y="1079500"/>
          <a:ext cx="4953000" cy="50323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904875</xdr:rowOff>
    </xdr:from>
    <xdr:to>
      <xdr:col>2</xdr:col>
      <xdr:colOff>381000</xdr:colOff>
      <xdr:row>17</xdr:row>
      <xdr:rowOff>127000</xdr:rowOff>
    </xdr:to>
    <xdr:cxnSp macro="">
      <xdr:nvCxnSpPr>
        <xdr:cNvPr id="9" name="Egyenes összekötő nyíllal 8"/>
        <xdr:cNvCxnSpPr/>
      </xdr:nvCxnSpPr>
      <xdr:spPr>
        <a:xfrm flipH="1">
          <a:off x="4111625" y="1127125"/>
          <a:ext cx="1158875" cy="49688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1032140</xdr:colOff>
      <xdr:row>10</xdr:row>
      <xdr:rowOff>193729</xdr:rowOff>
    </xdr:from>
    <xdr:to>
      <xdr:col>17</xdr:col>
      <xdr:colOff>47624</xdr:colOff>
      <xdr:row>13</xdr:row>
      <xdr:rowOff>145296</xdr:rowOff>
    </xdr:to>
    <xdr:sp macro="" textlink="">
      <xdr:nvSpPr>
        <xdr:cNvPr id="2" name="Jobbra nyíl 1"/>
        <xdr:cNvSpPr/>
      </xdr:nvSpPr>
      <xdr:spPr>
        <a:xfrm flipH="1">
          <a:off x="16605515" y="3225854"/>
          <a:ext cx="2793734" cy="1253317"/>
        </a:xfrm>
        <a:prstGeom prst="rightArrow">
          <a:avLst>
            <a:gd name="adj1" fmla="val 50000"/>
            <a:gd name="adj2" fmla="val 231598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88052</xdr:colOff>
      <xdr:row>2</xdr:row>
      <xdr:rowOff>206588</xdr:rowOff>
    </xdr:from>
    <xdr:to>
      <xdr:col>12</xdr:col>
      <xdr:colOff>302699</xdr:colOff>
      <xdr:row>3</xdr:row>
      <xdr:rowOff>285750</xdr:rowOff>
    </xdr:to>
    <xdr:sp macro="" textlink="">
      <xdr:nvSpPr>
        <xdr:cNvPr id="3" name="Jobbra nyíl 2"/>
        <xdr:cNvSpPr/>
      </xdr:nvSpPr>
      <xdr:spPr>
        <a:xfrm flipH="1">
          <a:off x="14581927" y="666963"/>
          <a:ext cx="1294147" cy="634787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400">
              <a:solidFill>
                <a:schemeClr val="tx1"/>
              </a:solidFill>
            </a:rPr>
            <a:t>kitöltendő!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1342</xdr:colOff>
      <xdr:row>3</xdr:row>
      <xdr:rowOff>369434</xdr:rowOff>
    </xdr:from>
    <xdr:to>
      <xdr:col>9</xdr:col>
      <xdr:colOff>657871</xdr:colOff>
      <xdr:row>5</xdr:row>
      <xdr:rowOff>273107</xdr:rowOff>
    </xdr:to>
    <xdr:sp macro="" textlink="">
      <xdr:nvSpPr>
        <xdr:cNvPr id="4" name="Jobbra nyíl 3"/>
        <xdr:cNvSpPr/>
      </xdr:nvSpPr>
      <xdr:spPr>
        <a:xfrm flipH="1">
          <a:off x="12907717" y="2195059"/>
          <a:ext cx="1926529" cy="665673"/>
        </a:xfrm>
        <a:prstGeom prst="rightArrow">
          <a:avLst>
            <a:gd name="adj1" fmla="val 50000"/>
            <a:gd name="adj2" fmla="val 59098"/>
          </a:avLst>
        </a:prstGeom>
        <a:solidFill>
          <a:srgbClr val="FF0000"/>
        </a:solidFill>
        <a:scene3d>
          <a:camera prst="orthographicFront">
            <a:rot lat="0" lon="0" rev="7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600">
              <a:solidFill>
                <a:schemeClr val="tx1"/>
              </a:solidFill>
            </a:rPr>
            <a:t>kitöltendő!</a:t>
          </a:r>
        </a:p>
        <a:p>
          <a:pPr algn="l"/>
          <a:endParaRPr lang="hu-HU" sz="16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508000</xdr:colOff>
      <xdr:row>1</xdr:row>
      <xdr:rowOff>825500</xdr:rowOff>
    </xdr:from>
    <xdr:to>
      <xdr:col>1</xdr:col>
      <xdr:colOff>825500</xdr:colOff>
      <xdr:row>16</xdr:row>
      <xdr:rowOff>31750</xdr:rowOff>
    </xdr:to>
    <xdr:cxnSp macro="">
      <xdr:nvCxnSpPr>
        <xdr:cNvPr id="5" name="Egyenes összekötő nyíllal 4"/>
        <xdr:cNvCxnSpPr/>
      </xdr:nvCxnSpPr>
      <xdr:spPr>
        <a:xfrm>
          <a:off x="4429125" y="1095375"/>
          <a:ext cx="317500" cy="47307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930275</xdr:colOff>
      <xdr:row>1</xdr:row>
      <xdr:rowOff>771525</xdr:rowOff>
    </xdr:from>
    <xdr:to>
      <xdr:col>9</xdr:col>
      <xdr:colOff>650875</xdr:colOff>
      <xdr:row>15</xdr:row>
      <xdr:rowOff>222250</xdr:rowOff>
    </xdr:to>
    <xdr:cxnSp macro="">
      <xdr:nvCxnSpPr>
        <xdr:cNvPr id="6" name="Egyenes összekötő nyíllal 5"/>
        <xdr:cNvCxnSpPr/>
      </xdr:nvCxnSpPr>
      <xdr:spPr>
        <a:xfrm>
          <a:off x="7391400" y="1041400"/>
          <a:ext cx="7340600" cy="47371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1209675</xdr:colOff>
      <xdr:row>1</xdr:row>
      <xdr:rowOff>527050</xdr:rowOff>
    </xdr:from>
    <xdr:to>
      <xdr:col>9</xdr:col>
      <xdr:colOff>269875</xdr:colOff>
      <xdr:row>9</xdr:row>
      <xdr:rowOff>127000</xdr:rowOff>
    </xdr:to>
    <xdr:cxnSp macro="">
      <xdr:nvCxnSpPr>
        <xdr:cNvPr id="7" name="Egyenes összekötő nyíllal 6"/>
        <xdr:cNvCxnSpPr/>
      </xdr:nvCxnSpPr>
      <xdr:spPr>
        <a:xfrm>
          <a:off x="7670800" y="796925"/>
          <a:ext cx="6680200" cy="28702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60" zoomScaleNormal="60" workbookViewId="0">
      <selection activeCell="B2" sqref="B2:M2"/>
    </sheetView>
  </sheetViews>
  <sheetFormatPr defaultColWidth="11.42578125" defaultRowHeight="12.75" x14ac:dyDescent="0.2"/>
  <cols>
    <col min="1" max="1" width="54.5703125" style="90" customWidth="1"/>
    <col min="2" max="12" width="18.7109375" style="90" customWidth="1"/>
    <col min="13" max="13" width="21.28515625" style="90" customWidth="1"/>
    <col min="14" max="15" width="11.42578125" style="90" customWidth="1"/>
    <col min="16" max="16" width="6.140625" style="90" customWidth="1"/>
    <col min="17" max="16384" width="11.42578125" style="90"/>
  </cols>
  <sheetData>
    <row r="1" spans="1:15" ht="17.25" customHeight="1" thickBot="1" x14ac:dyDescent="0.25"/>
    <row r="2" spans="1:15" ht="78.75" customHeight="1" thickBot="1" x14ac:dyDescent="0.25">
      <c r="B2" s="86" t="s">
        <v>39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5" ht="9" customHeight="1" thickBot="1" x14ac:dyDescent="0.25"/>
    <row r="4" spans="1:15" ht="40.5" customHeight="1" thickBot="1" x14ac:dyDescent="0.25">
      <c r="B4" s="91" t="s">
        <v>28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5" ht="30.75" customHeight="1" thickBot="1" x14ac:dyDescent="0.35">
      <c r="B5" s="78" t="s">
        <v>0</v>
      </c>
      <c r="C5" s="78"/>
      <c r="D5" s="94" t="s">
        <v>36</v>
      </c>
      <c r="E5" s="94"/>
      <c r="F5" s="94"/>
      <c r="G5" s="94"/>
      <c r="H5" s="95"/>
      <c r="I5" s="95"/>
      <c r="J5" s="95"/>
      <c r="K5" s="95"/>
      <c r="L5" s="96" t="s">
        <v>24</v>
      </c>
      <c r="M5" s="95"/>
    </row>
    <row r="6" spans="1:15" ht="28.5" customHeight="1" thickTop="1" x14ac:dyDescent="0.3">
      <c r="B6" s="79" t="s">
        <v>1</v>
      </c>
      <c r="C6" s="79"/>
      <c r="D6" s="97" t="s">
        <v>37</v>
      </c>
      <c r="E6" s="97"/>
      <c r="F6" s="97"/>
      <c r="G6" s="97"/>
      <c r="H6" s="95"/>
      <c r="I6" s="98" t="s">
        <v>2</v>
      </c>
      <c r="J6" s="98"/>
      <c r="K6" s="99">
        <v>12000</v>
      </c>
      <c r="L6" s="100">
        <f>K6/12</f>
        <v>1000</v>
      </c>
      <c r="M6" s="101" t="s">
        <v>3</v>
      </c>
      <c r="O6" s="102"/>
    </row>
    <row r="7" spans="1:15" ht="28.5" customHeight="1" thickBot="1" x14ac:dyDescent="0.35">
      <c r="B7" s="79" t="s">
        <v>4</v>
      </c>
      <c r="C7" s="79"/>
      <c r="D7" s="103" t="s">
        <v>38</v>
      </c>
      <c r="E7" s="103"/>
      <c r="F7" s="103"/>
      <c r="G7" s="103"/>
      <c r="H7" s="95"/>
      <c r="I7" s="104">
        <v>0.95</v>
      </c>
      <c r="J7" s="105">
        <f>K6*0.95</f>
        <v>11400</v>
      </c>
      <c r="K7" s="104">
        <v>1.1000000000000001</v>
      </c>
      <c r="L7" s="105">
        <f>K6*1.1</f>
        <v>13200.000000000002</v>
      </c>
      <c r="M7" s="106" t="s">
        <v>5</v>
      </c>
      <c r="O7" s="107"/>
    </row>
    <row r="8" spans="1:15" ht="21.75" thickTop="1" thickBot="1" x14ac:dyDescent="0.35">
      <c r="B8" s="108" t="s">
        <v>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10"/>
      <c r="O8" s="111" t="s">
        <v>35</v>
      </c>
    </row>
    <row r="9" spans="1:15" ht="14.25" x14ac:dyDescent="0.2">
      <c r="B9" s="112" t="s">
        <v>7</v>
      </c>
      <c r="C9" s="112" t="s">
        <v>8</v>
      </c>
      <c r="D9" s="112" t="s">
        <v>9</v>
      </c>
      <c r="E9" s="112" t="s">
        <v>10</v>
      </c>
      <c r="F9" s="112" t="s">
        <v>11</v>
      </c>
      <c r="G9" s="112" t="s">
        <v>12</v>
      </c>
      <c r="H9" s="112" t="s">
        <v>13</v>
      </c>
      <c r="I9" s="112" t="s">
        <v>14</v>
      </c>
      <c r="J9" s="112" t="s">
        <v>15</v>
      </c>
      <c r="K9" s="112" t="s">
        <v>16</v>
      </c>
      <c r="L9" s="112" t="s">
        <v>17</v>
      </c>
      <c r="M9" s="112" t="s">
        <v>18</v>
      </c>
      <c r="O9" s="113"/>
    </row>
    <row r="10" spans="1:15" ht="13.5" thickBot="1" x14ac:dyDescent="0.25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5" ht="23.25" customHeight="1" thickBot="1" x14ac:dyDescent="0.25">
      <c r="A11" s="83" t="s">
        <v>26</v>
      </c>
      <c r="B11" s="84"/>
      <c r="C11" s="84"/>
      <c r="D11" s="84"/>
      <c r="E11" s="84"/>
      <c r="F11" s="84"/>
      <c r="G11" s="84"/>
      <c r="H11" s="85"/>
      <c r="I11" s="115">
        <v>18000</v>
      </c>
      <c r="J11" s="32"/>
      <c r="K11" s="32"/>
      <c r="L11" s="32"/>
      <c r="M11" s="32"/>
      <c r="N11" s="90">
        <f>I11*0.95</f>
        <v>17100</v>
      </c>
      <c r="O11" s="116">
        <v>0.95</v>
      </c>
    </row>
    <row r="12" spans="1:15" ht="23.25" customHeight="1" thickBot="1" x14ac:dyDescent="0.25">
      <c r="A12" s="117" t="s">
        <v>25</v>
      </c>
      <c r="B12" s="118"/>
      <c r="C12" s="118"/>
      <c r="D12" s="118"/>
      <c r="E12" s="118"/>
      <c r="F12" s="118"/>
      <c r="G12" s="118"/>
      <c r="H12" s="119"/>
      <c r="I12" s="33">
        <f>I11/5</f>
        <v>3600</v>
      </c>
      <c r="J12" s="33">
        <f>I12</f>
        <v>3600</v>
      </c>
      <c r="K12" s="33">
        <f>I12</f>
        <v>3600</v>
      </c>
      <c r="L12" s="33">
        <f>I12</f>
        <v>3600</v>
      </c>
      <c r="M12" s="33">
        <f>I12</f>
        <v>3600</v>
      </c>
      <c r="N12" s="90">
        <f>I11*1.1</f>
        <v>19800</v>
      </c>
      <c r="O12" s="116">
        <v>1.1000000000000001</v>
      </c>
    </row>
    <row r="13" spans="1:15" ht="47.25" customHeight="1" thickBot="1" x14ac:dyDescent="0.35">
      <c r="A13" s="120" t="s">
        <v>33</v>
      </c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O13" s="123"/>
    </row>
    <row r="14" spans="1:15" ht="30.75" customHeight="1" thickBot="1" x14ac:dyDescent="0.35">
      <c r="A14" s="124" t="s">
        <v>30</v>
      </c>
      <c r="B14" s="70">
        <v>0</v>
      </c>
      <c r="C14" s="70">
        <f>IF(B33&gt;0,B33,0)</f>
        <v>0</v>
      </c>
      <c r="D14" s="70">
        <f t="shared" ref="D14" si="0">IF(C33&gt;0,C33,0)</f>
        <v>0</v>
      </c>
      <c r="E14" s="70">
        <f>IF(D33&gt;0,D33,0)</f>
        <v>0</v>
      </c>
      <c r="F14" s="70">
        <f t="shared" ref="F14:M14" si="1">IF(E33&gt;0,E33,0)</f>
        <v>0</v>
      </c>
      <c r="G14" s="70">
        <f t="shared" si="1"/>
        <v>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</row>
    <row r="15" spans="1:15" ht="21.75" customHeight="1" x14ac:dyDescent="0.3">
      <c r="A15" s="125"/>
      <c r="B15" s="71" t="str">
        <f>IF(B17&lt;=(B$13+B$14)," ","Alult.")</f>
        <v>Alult.</v>
      </c>
      <c r="C15" s="71" t="str">
        <f t="shared" ref="C15:M15" si="2">IF(C17&lt;=(C$13+C$14)," ","Alult.")</f>
        <v>Alult.</v>
      </c>
      <c r="D15" s="71" t="str">
        <f t="shared" si="2"/>
        <v>Alult.</v>
      </c>
      <c r="E15" s="71" t="str">
        <f t="shared" si="2"/>
        <v>Alult.</v>
      </c>
      <c r="F15" s="71" t="str">
        <f t="shared" si="2"/>
        <v>Alult.</v>
      </c>
      <c r="G15" s="71" t="str">
        <f t="shared" si="2"/>
        <v>Alult.</v>
      </c>
      <c r="H15" s="71" t="str">
        <f t="shared" si="2"/>
        <v>Alult.</v>
      </c>
      <c r="I15" s="71" t="str">
        <f t="shared" si="2"/>
        <v>Alult.</v>
      </c>
      <c r="J15" s="71" t="str">
        <f t="shared" si="2"/>
        <v>Alult.</v>
      </c>
      <c r="K15" s="71" t="str">
        <f t="shared" si="2"/>
        <v>Alult.</v>
      </c>
      <c r="L15" s="71" t="str">
        <f t="shared" si="2"/>
        <v>Alult.</v>
      </c>
      <c r="M15" s="71" t="str">
        <f t="shared" si="2"/>
        <v>Alult.</v>
      </c>
    </row>
    <row r="16" spans="1:15" ht="21.75" customHeight="1" thickBot="1" x14ac:dyDescent="0.35">
      <c r="A16" s="125"/>
      <c r="B16" s="72" t="str">
        <f>IF(B18&gt;=(B$13+B$14)," ","Túlt.")</f>
        <v xml:space="preserve"> </v>
      </c>
      <c r="C16" s="73" t="str">
        <f t="shared" ref="C16:M16" si="3">IF(C18&gt;=(C$13+C$14)," ","Túlt.")</f>
        <v xml:space="preserve"> </v>
      </c>
      <c r="D16" s="73" t="str">
        <f t="shared" si="3"/>
        <v xml:space="preserve"> </v>
      </c>
      <c r="E16" s="73" t="str">
        <f t="shared" si="3"/>
        <v xml:space="preserve"> </v>
      </c>
      <c r="F16" s="73" t="str">
        <f t="shared" si="3"/>
        <v xml:space="preserve"> </v>
      </c>
      <c r="G16" s="73" t="str">
        <f t="shared" si="3"/>
        <v xml:space="preserve"> </v>
      </c>
      <c r="H16" s="73" t="str">
        <f t="shared" si="3"/>
        <v xml:space="preserve"> </v>
      </c>
      <c r="I16" s="73" t="str">
        <f t="shared" si="3"/>
        <v xml:space="preserve"> </v>
      </c>
      <c r="J16" s="73" t="str">
        <f t="shared" si="3"/>
        <v xml:space="preserve"> </v>
      </c>
      <c r="K16" s="73" t="str">
        <f t="shared" si="3"/>
        <v xml:space="preserve"> </v>
      </c>
      <c r="L16" s="73" t="str">
        <f t="shared" si="3"/>
        <v xml:space="preserve"> </v>
      </c>
      <c r="M16" s="73" t="str">
        <f t="shared" si="3"/>
        <v xml:space="preserve"> </v>
      </c>
    </row>
    <row r="17" spans="1:14" ht="18.75" customHeight="1" thickBot="1" x14ac:dyDescent="0.35">
      <c r="A17" s="126" t="s">
        <v>19</v>
      </c>
      <c r="B17" s="36">
        <f>$K$6/12*0.95</f>
        <v>950</v>
      </c>
      <c r="C17" s="36">
        <f t="shared" ref="C17:H17" si="4">$K$6/12*0.95</f>
        <v>950</v>
      </c>
      <c r="D17" s="36">
        <f t="shared" si="4"/>
        <v>950</v>
      </c>
      <c r="E17" s="36">
        <f t="shared" si="4"/>
        <v>950</v>
      </c>
      <c r="F17" s="36">
        <f t="shared" si="4"/>
        <v>950</v>
      </c>
      <c r="G17" s="36">
        <f t="shared" si="4"/>
        <v>950</v>
      </c>
      <c r="H17" s="36">
        <f t="shared" si="4"/>
        <v>950</v>
      </c>
      <c r="I17" s="36">
        <f>($K$6/12+I12)*0.95</f>
        <v>4370</v>
      </c>
      <c r="J17" s="36">
        <f>($K$6/12+J12)*0.95</f>
        <v>4370</v>
      </c>
      <c r="K17" s="36">
        <f t="shared" ref="K17:M17" si="5">($K$6/12+K12)*0.95</f>
        <v>4370</v>
      </c>
      <c r="L17" s="36">
        <f>($K$6/12+L12)*0.95</f>
        <v>4370</v>
      </c>
      <c r="M17" s="36">
        <f t="shared" si="5"/>
        <v>4370</v>
      </c>
      <c r="N17" s="127"/>
    </row>
    <row r="18" spans="1:14" ht="18.75" customHeight="1" thickBot="1" x14ac:dyDescent="0.35">
      <c r="A18" s="126" t="s">
        <v>20</v>
      </c>
      <c r="B18" s="37">
        <f t="shared" ref="B18:G18" si="6">$K$6/12*1.1</f>
        <v>1100</v>
      </c>
      <c r="C18" s="37">
        <f t="shared" si="6"/>
        <v>1100</v>
      </c>
      <c r="D18" s="37">
        <f t="shared" si="6"/>
        <v>1100</v>
      </c>
      <c r="E18" s="37">
        <f t="shared" si="6"/>
        <v>1100</v>
      </c>
      <c r="F18" s="37">
        <f t="shared" si="6"/>
        <v>1100</v>
      </c>
      <c r="G18" s="37">
        <f t="shared" si="6"/>
        <v>1100</v>
      </c>
      <c r="H18" s="37">
        <f>$K$6/12*1.1</f>
        <v>1100</v>
      </c>
      <c r="I18" s="37">
        <f>($K$6/12+I12)*1.1</f>
        <v>5060</v>
      </c>
      <c r="J18" s="37">
        <f t="shared" ref="J18:M18" si="7">($K$6/12+J12)*1.1</f>
        <v>5060</v>
      </c>
      <c r="K18" s="37">
        <f t="shared" si="7"/>
        <v>5060</v>
      </c>
      <c r="L18" s="37">
        <f t="shared" si="7"/>
        <v>5060</v>
      </c>
      <c r="M18" s="37">
        <f t="shared" si="7"/>
        <v>5060</v>
      </c>
    </row>
    <row r="19" spans="1:14" ht="7.5" customHeight="1" thickBot="1" x14ac:dyDescent="0.35">
      <c r="A19" s="125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4" ht="18.75" customHeight="1" x14ac:dyDescent="0.3">
      <c r="A20" s="125"/>
      <c r="B20" s="40" t="s">
        <v>7</v>
      </c>
      <c r="C20" s="41" t="s">
        <v>21</v>
      </c>
      <c r="D20" s="41" t="s">
        <v>21</v>
      </c>
      <c r="E20" s="41" t="s">
        <v>21</v>
      </c>
      <c r="F20" s="41" t="s">
        <v>21</v>
      </c>
      <c r="G20" s="41" t="s">
        <v>21</v>
      </c>
      <c r="H20" s="41" t="s">
        <v>21</v>
      </c>
      <c r="I20" s="41" t="s">
        <v>21</v>
      </c>
      <c r="J20" s="41" t="s">
        <v>21</v>
      </c>
      <c r="K20" s="41" t="s">
        <v>21</v>
      </c>
      <c r="L20" s="41" t="s">
        <v>21</v>
      </c>
      <c r="M20" s="42" t="s">
        <v>21</v>
      </c>
    </row>
    <row r="21" spans="1:14" ht="18.75" customHeight="1" thickBot="1" x14ac:dyDescent="0.35">
      <c r="A21" s="125"/>
      <c r="B21" s="43"/>
      <c r="C21" s="44" t="s">
        <v>8</v>
      </c>
      <c r="D21" s="44" t="s">
        <v>9</v>
      </c>
      <c r="E21" s="44" t="s">
        <v>10</v>
      </c>
      <c r="F21" s="44" t="s">
        <v>11</v>
      </c>
      <c r="G21" s="44" t="s">
        <v>12</v>
      </c>
      <c r="H21" s="44" t="s">
        <v>13</v>
      </c>
      <c r="I21" s="44" t="s">
        <v>14</v>
      </c>
      <c r="J21" s="44" t="s">
        <v>15</v>
      </c>
      <c r="K21" s="44" t="s">
        <v>16</v>
      </c>
      <c r="L21" s="44" t="s">
        <v>17</v>
      </c>
      <c r="M21" s="44" t="s">
        <v>18</v>
      </c>
    </row>
    <row r="22" spans="1:14" ht="25.5" customHeight="1" thickTop="1" x14ac:dyDescent="0.35">
      <c r="A22" s="126" t="s">
        <v>31</v>
      </c>
      <c r="B22" s="45">
        <f>B13</f>
        <v>0</v>
      </c>
      <c r="C22" s="46">
        <f t="shared" ref="C22:M22" si="8">B22+C13</f>
        <v>0</v>
      </c>
      <c r="D22" s="46">
        <f t="shared" si="8"/>
        <v>0</v>
      </c>
      <c r="E22" s="46">
        <f t="shared" si="8"/>
        <v>0</v>
      </c>
      <c r="F22" s="46">
        <f t="shared" si="8"/>
        <v>0</v>
      </c>
      <c r="G22" s="46">
        <f t="shared" si="8"/>
        <v>0</v>
      </c>
      <c r="H22" s="46">
        <f t="shared" si="8"/>
        <v>0</v>
      </c>
      <c r="I22" s="46">
        <f t="shared" si="8"/>
        <v>0</v>
      </c>
      <c r="J22" s="46">
        <f t="shared" si="8"/>
        <v>0</v>
      </c>
      <c r="K22" s="46">
        <f t="shared" si="8"/>
        <v>0</v>
      </c>
      <c r="L22" s="46">
        <f t="shared" si="8"/>
        <v>0</v>
      </c>
      <c r="M22" s="46">
        <f t="shared" si="8"/>
        <v>0</v>
      </c>
    </row>
    <row r="23" spans="1:14" ht="9" customHeight="1" x14ac:dyDescent="0.3">
      <c r="A23" s="125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</row>
    <row r="24" spans="1:14" ht="20.25" customHeight="1" x14ac:dyDescent="0.3">
      <c r="A24" s="125"/>
      <c r="B24" s="49" t="str">
        <f t="shared" ref="B24:M24" si="9">IF(B26&lt;=B22," ","Alult.")</f>
        <v>Alult.</v>
      </c>
      <c r="C24" s="35" t="str">
        <f t="shared" si="9"/>
        <v>Alult.</v>
      </c>
      <c r="D24" s="35" t="str">
        <f t="shared" si="9"/>
        <v>Alult.</v>
      </c>
      <c r="E24" s="35" t="str">
        <f t="shared" si="9"/>
        <v>Alult.</v>
      </c>
      <c r="F24" s="35" t="str">
        <f t="shared" si="9"/>
        <v>Alult.</v>
      </c>
      <c r="G24" s="35" t="str">
        <f t="shared" si="9"/>
        <v>Alult.</v>
      </c>
      <c r="H24" s="35" t="str">
        <f t="shared" si="9"/>
        <v>Alult.</v>
      </c>
      <c r="I24" s="35" t="str">
        <f t="shared" si="9"/>
        <v>Alult.</v>
      </c>
      <c r="J24" s="35" t="str">
        <f t="shared" si="9"/>
        <v>Alult.</v>
      </c>
      <c r="K24" s="35" t="str">
        <f t="shared" si="9"/>
        <v>Alult.</v>
      </c>
      <c r="L24" s="35" t="str">
        <f t="shared" si="9"/>
        <v>Alult.</v>
      </c>
      <c r="M24" s="35" t="str">
        <f t="shared" si="9"/>
        <v>Alult.</v>
      </c>
    </row>
    <row r="25" spans="1:14" ht="20.25" customHeight="1" thickBot="1" x14ac:dyDescent="0.35">
      <c r="A25" s="125"/>
      <c r="B25" s="50" t="str">
        <f t="shared" ref="B25:M25" si="10">IF(B27&gt;=B22," ","Túlt.")</f>
        <v xml:space="preserve"> </v>
      </c>
      <c r="C25" s="51" t="str">
        <f t="shared" si="10"/>
        <v xml:space="preserve"> </v>
      </c>
      <c r="D25" s="51" t="str">
        <f t="shared" si="10"/>
        <v xml:space="preserve"> </v>
      </c>
      <c r="E25" s="51" t="str">
        <f t="shared" si="10"/>
        <v xml:space="preserve"> </v>
      </c>
      <c r="F25" s="51" t="str">
        <f t="shared" si="10"/>
        <v xml:space="preserve"> </v>
      </c>
      <c r="G25" s="51" t="str">
        <f t="shared" si="10"/>
        <v xml:space="preserve"> </v>
      </c>
      <c r="H25" s="51" t="str">
        <f t="shared" si="10"/>
        <v xml:space="preserve"> </v>
      </c>
      <c r="I25" s="51" t="str">
        <f t="shared" si="10"/>
        <v xml:space="preserve"> </v>
      </c>
      <c r="J25" s="35" t="str">
        <f t="shared" si="10"/>
        <v xml:space="preserve"> </v>
      </c>
      <c r="K25" s="35" t="str">
        <f t="shared" si="10"/>
        <v xml:space="preserve"> </v>
      </c>
      <c r="L25" s="35" t="str">
        <f t="shared" si="10"/>
        <v xml:space="preserve"> </v>
      </c>
      <c r="M25" s="35" t="str">
        <f t="shared" si="10"/>
        <v xml:space="preserve"> </v>
      </c>
    </row>
    <row r="26" spans="1:14" ht="23.25" customHeight="1" thickBot="1" x14ac:dyDescent="0.35">
      <c r="A26" s="126" t="s">
        <v>19</v>
      </c>
      <c r="B26" s="52">
        <f>$K$6/12*0.95</f>
        <v>950</v>
      </c>
      <c r="C26" s="53">
        <f>$K$6/12*0.95+B26</f>
        <v>1900</v>
      </c>
      <c r="D26" s="53">
        <f t="shared" ref="D26:H26" si="11">$K$6/12*0.95+C26</f>
        <v>2850</v>
      </c>
      <c r="E26" s="53">
        <f t="shared" si="11"/>
        <v>3800</v>
      </c>
      <c r="F26" s="53">
        <f t="shared" si="11"/>
        <v>4750</v>
      </c>
      <c r="G26" s="53">
        <f t="shared" si="11"/>
        <v>5700</v>
      </c>
      <c r="H26" s="53">
        <f t="shared" si="11"/>
        <v>6650</v>
      </c>
      <c r="I26" s="54">
        <f>($K$6/12+I12)*0.95+H26</f>
        <v>11020</v>
      </c>
      <c r="J26" s="54">
        <f t="shared" ref="J26:M26" si="12">($K$6/12+J12)*0.95+I26</f>
        <v>15390</v>
      </c>
      <c r="K26" s="54">
        <f t="shared" si="12"/>
        <v>19760</v>
      </c>
      <c r="L26" s="54">
        <f t="shared" si="12"/>
        <v>24130</v>
      </c>
      <c r="M26" s="54">
        <f t="shared" si="12"/>
        <v>28500</v>
      </c>
      <c r="N26" s="127">
        <f>J7+N11-M26</f>
        <v>0</v>
      </c>
    </row>
    <row r="27" spans="1:14" ht="23.25" customHeight="1" thickTop="1" thickBot="1" x14ac:dyDescent="0.35">
      <c r="A27" s="126" t="s">
        <v>20</v>
      </c>
      <c r="B27" s="55">
        <f t="shared" ref="B27" si="13">$K$6/12*1.1</f>
        <v>1100</v>
      </c>
      <c r="C27" s="56">
        <f>$K$6/12*1.1+B27</f>
        <v>2200</v>
      </c>
      <c r="D27" s="56">
        <f t="shared" ref="D27:H27" si="14">$K$6/12*1.1+C27</f>
        <v>3300</v>
      </c>
      <c r="E27" s="56">
        <f t="shared" si="14"/>
        <v>4400</v>
      </c>
      <c r="F27" s="56">
        <f t="shared" si="14"/>
        <v>5500</v>
      </c>
      <c r="G27" s="56">
        <f t="shared" si="14"/>
        <v>6600</v>
      </c>
      <c r="H27" s="56">
        <f t="shared" si="14"/>
        <v>7700</v>
      </c>
      <c r="I27" s="57">
        <f>($K$6/12+I12)*1.1+H27</f>
        <v>12760</v>
      </c>
      <c r="J27" s="57">
        <f t="shared" ref="J27:M27" si="15">($K$6/12+J12)*1.1+I27</f>
        <v>17820</v>
      </c>
      <c r="K27" s="57">
        <f t="shared" si="15"/>
        <v>22880</v>
      </c>
      <c r="L27" s="57">
        <f t="shared" si="15"/>
        <v>27940</v>
      </c>
      <c r="M27" s="57">
        <f t="shared" si="15"/>
        <v>33000</v>
      </c>
      <c r="N27" s="127">
        <f>L7+N12-M27</f>
        <v>0</v>
      </c>
    </row>
    <row r="28" spans="1:14" ht="9" customHeight="1" x14ac:dyDescent="0.3">
      <c r="A28" s="65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1"/>
    </row>
    <row r="29" spans="1:14" ht="17.25" customHeight="1" x14ac:dyDescent="0.3">
      <c r="A29" s="66"/>
      <c r="B29" s="58"/>
      <c r="C29" s="58"/>
      <c r="D29" s="58"/>
      <c r="E29" s="58"/>
      <c r="F29" s="58"/>
      <c r="G29" s="58"/>
      <c r="H29" s="62" t="str">
        <f>IF(H31&lt;=H22," ","Alult.")</f>
        <v>Alult.</v>
      </c>
      <c r="I29" s="58"/>
      <c r="J29" s="58"/>
      <c r="K29" s="58"/>
      <c r="L29" s="58"/>
      <c r="M29" s="58"/>
    </row>
    <row r="30" spans="1:14" ht="17.25" customHeight="1" thickBot="1" x14ac:dyDescent="0.35">
      <c r="A30" s="66"/>
      <c r="B30" s="58"/>
      <c r="C30" s="58"/>
      <c r="D30" s="58"/>
      <c r="E30" s="58"/>
      <c r="F30" s="58"/>
      <c r="G30" s="58"/>
      <c r="H30" s="62" t="str">
        <f>IF(H31&gt;=H22," ","Túlt.")</f>
        <v xml:space="preserve"> </v>
      </c>
      <c r="I30" s="58"/>
      <c r="J30" s="58"/>
      <c r="K30" s="58"/>
      <c r="L30" s="58"/>
      <c r="M30" s="58"/>
    </row>
    <row r="31" spans="1:14" ht="24.75" customHeight="1" x14ac:dyDescent="0.3">
      <c r="A31" s="67" t="s">
        <v>22</v>
      </c>
      <c r="B31" s="58"/>
      <c r="C31" s="58"/>
      <c r="D31" s="58"/>
      <c r="E31" s="58"/>
      <c r="F31" s="58"/>
      <c r="G31" s="58"/>
      <c r="H31" s="63">
        <f>(K6/12)*7*0.75</f>
        <v>5250</v>
      </c>
      <c r="I31" s="58"/>
      <c r="J31" s="58"/>
      <c r="K31" s="58"/>
      <c r="L31" s="58"/>
      <c r="M31" s="58"/>
    </row>
    <row r="32" spans="1:14" ht="36.75" customHeight="1" x14ac:dyDescent="0.3">
      <c r="A32" s="34" t="s">
        <v>23</v>
      </c>
      <c r="B32" s="64">
        <f t="shared" ref="B32:M32" si="16">B13-B18</f>
        <v>-1100</v>
      </c>
      <c r="C32" s="64">
        <f t="shared" si="16"/>
        <v>-1100</v>
      </c>
      <c r="D32" s="64">
        <f t="shared" si="16"/>
        <v>-1100</v>
      </c>
      <c r="E32" s="64">
        <f t="shared" si="16"/>
        <v>-1100</v>
      </c>
      <c r="F32" s="64">
        <f t="shared" si="16"/>
        <v>-1100</v>
      </c>
      <c r="G32" s="64">
        <f t="shared" si="16"/>
        <v>-1100</v>
      </c>
      <c r="H32" s="64">
        <f t="shared" si="16"/>
        <v>-1100</v>
      </c>
      <c r="I32" s="64">
        <f t="shared" si="16"/>
        <v>-5060</v>
      </c>
      <c r="J32" s="64">
        <f t="shared" si="16"/>
        <v>-5060</v>
      </c>
      <c r="K32" s="64">
        <f t="shared" si="16"/>
        <v>-5060</v>
      </c>
      <c r="L32" s="64">
        <f t="shared" si="16"/>
        <v>-5060</v>
      </c>
      <c r="M32" s="64">
        <f t="shared" si="16"/>
        <v>-5060</v>
      </c>
    </row>
    <row r="33" spans="1:13" ht="44.25" customHeight="1" x14ac:dyDescent="0.35">
      <c r="A33" s="68" t="s">
        <v>32</v>
      </c>
      <c r="B33" s="69">
        <f>B22-B27</f>
        <v>-1100</v>
      </c>
      <c r="C33" s="69">
        <f t="shared" ref="C33:M33" si="17">C22-C27</f>
        <v>-2200</v>
      </c>
      <c r="D33" s="69">
        <f t="shared" si="17"/>
        <v>-3300</v>
      </c>
      <c r="E33" s="69">
        <f t="shared" si="17"/>
        <v>-4400</v>
      </c>
      <c r="F33" s="69">
        <f t="shared" si="17"/>
        <v>-5500</v>
      </c>
      <c r="G33" s="69">
        <f t="shared" si="17"/>
        <v>-6600</v>
      </c>
      <c r="H33" s="69">
        <f t="shared" si="17"/>
        <v>-7700</v>
      </c>
      <c r="I33" s="69">
        <f t="shared" si="17"/>
        <v>-12760</v>
      </c>
      <c r="J33" s="69">
        <f t="shared" si="17"/>
        <v>-17820</v>
      </c>
      <c r="K33" s="69">
        <f t="shared" si="17"/>
        <v>-22880</v>
      </c>
      <c r="L33" s="69">
        <f t="shared" si="17"/>
        <v>-27940</v>
      </c>
      <c r="M33" s="69">
        <f t="shared" si="17"/>
        <v>-33000</v>
      </c>
    </row>
    <row r="34" spans="1:13" ht="42" customHeight="1" x14ac:dyDescent="0.3">
      <c r="A34" s="128" t="s">
        <v>34</v>
      </c>
      <c r="B34" s="74">
        <f>IF((B13+B14)&gt;B18,B18,(B13+B14))</f>
        <v>0</v>
      </c>
      <c r="C34" s="74">
        <f>IF((C$13+C$14+B$34)&lt;C$27,C$13+C$14,C$27-B$34)</f>
        <v>0</v>
      </c>
      <c r="D34" s="74">
        <f>IF((D$13+D$14+B$34+C$34)&lt;D$27,D$13+D$14,D$27-B$34-C$34)</f>
        <v>0</v>
      </c>
      <c r="E34" s="74">
        <f>IF((E$13+E$14+B$34+C$34+D$34)&lt;E$27,E$13+E$14,E$27-B$34-C$34-D$34)</f>
        <v>0</v>
      </c>
      <c r="F34" s="74">
        <f>IF((F$13+F$14+B$34+C$34+D$34+E$34)&lt;F$27,F$13+F$14,F$27-B$34-C$34-D$34-E$34)</f>
        <v>0</v>
      </c>
      <c r="G34" s="74">
        <f>IF((G$13+G$14+B$34+C$34+D$34+E$34+F$34)&lt;G$27,G$13+G$14,G$27-B$34-C$34-D$34-E$34-F$34)</f>
        <v>0</v>
      </c>
      <c r="H34" s="74">
        <f>IF((H$13+H$14+B$34+C$34+D$34+E$34+F$34+G$34)&lt;H$27,H$13+H$14,H$27-B$34-C$34-D$34-E$34-F$34-G$34)</f>
        <v>0</v>
      </c>
      <c r="I34" s="74">
        <f>IF((I$13+I$14+B$34+C$34+D$34+E$34+F$34+G$34+H$34)&lt;I$27,I$13+I$14,I$27-B$34-C$34-D$34-E$34-F$34-G$34-H$34)</f>
        <v>0</v>
      </c>
      <c r="J34" s="74">
        <f>IF((J$13+J$14+B$34+C$34+D$34+E$34+F$34+G$34+H$34+I$34)&lt;J$27,J$13+J$14,J$27-B$34-C$34-D$34-E$34-F$34-G$34-H$34-I$34)</f>
        <v>0</v>
      </c>
      <c r="K34" s="74">
        <f>IF((K$13+K$14+B$34+C$34+D$34+E$34+F$34+G$34+H$34+I$34+J$34)&lt;K$27,K$13+K$14,K$27-B$34-C$34-D$34-E$34-F$34-G$34-H$34-I$34-J$34)</f>
        <v>0</v>
      </c>
      <c r="L34" s="74">
        <f>IF((L$13+L$14+B$34+C$34+D$34+E$34+F$34+G$34+H$34+I$34+J$34+K$34)&lt;L$27,L$13+L$14,L$27-B$34-C$34-D$34-E$34-F$34-G$34-H$34-I$34-J$34-K$34)</f>
        <v>0</v>
      </c>
      <c r="M34" s="74">
        <f>IF((M$13+M$14+B$34+C$34+D$34+E$34+F$34+G$34+H$34+I$34+J$34+K$34+L$34)&lt;M$27,M$13+M$14,M$27-B$34-C$34-D$34-E$34-F$34-G$34-H$34-I$34-J$34-K$34-L$34)</f>
        <v>0</v>
      </c>
    </row>
  </sheetData>
  <sheetProtection password="CC23" sheet="1" objects="1" scenarios="1"/>
  <mergeCells count="24">
    <mergeCell ref="B2:M2"/>
    <mergeCell ref="J9:J10"/>
    <mergeCell ref="K9:K10"/>
    <mergeCell ref="L9:L10"/>
    <mergeCell ref="M9:M10"/>
    <mergeCell ref="B6:C6"/>
    <mergeCell ref="D6:G6"/>
    <mergeCell ref="I6:J6"/>
    <mergeCell ref="B8:M8"/>
    <mergeCell ref="I9:I10"/>
    <mergeCell ref="B4:M4"/>
    <mergeCell ref="B5:C5"/>
    <mergeCell ref="D5:G5"/>
    <mergeCell ref="B7:C7"/>
    <mergeCell ref="D7:G7"/>
    <mergeCell ref="A11:H11"/>
    <mergeCell ref="A12:H12"/>
    <mergeCell ref="B9:B10"/>
    <mergeCell ref="C9:C10"/>
    <mergeCell ref="D9:D10"/>
    <mergeCell ref="E9:E10"/>
    <mergeCell ref="F9:F10"/>
    <mergeCell ref="G9:G10"/>
    <mergeCell ref="H9:H10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="60" zoomScaleNormal="60" workbookViewId="0">
      <selection activeCell="B7" sqref="B7:M7"/>
    </sheetView>
  </sheetViews>
  <sheetFormatPr defaultColWidth="11.42578125" defaultRowHeight="12.75" x14ac:dyDescent="0.2"/>
  <cols>
    <col min="1" max="1" width="58.85546875" style="90" customWidth="1"/>
    <col min="2" max="13" width="19" style="90" customWidth="1"/>
    <col min="14" max="15" width="11.42578125" style="90" customWidth="1"/>
    <col min="16" max="16" width="6.140625" style="90" customWidth="1"/>
    <col min="17" max="16384" width="11.42578125" style="90"/>
  </cols>
  <sheetData>
    <row r="1" spans="1:15" ht="21.75" customHeight="1" thickBot="1" x14ac:dyDescent="0.55000000000000004">
      <c r="B1" s="129"/>
      <c r="C1" s="130"/>
      <c r="D1" s="130"/>
      <c r="E1" s="130"/>
      <c r="F1" s="130"/>
      <c r="G1" s="130"/>
      <c r="H1" s="130"/>
      <c r="I1" s="131"/>
      <c r="J1" s="130"/>
      <c r="K1" s="130"/>
      <c r="L1" s="130"/>
      <c r="M1" s="130"/>
    </row>
    <row r="2" spans="1:15" ht="78.75" customHeight="1" thickTop="1" thickBot="1" x14ac:dyDescent="0.25">
      <c r="B2" s="86" t="s">
        <v>40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  <c r="O2" s="132"/>
    </row>
    <row r="3" spans="1:15" ht="43.5" customHeight="1" thickBot="1" x14ac:dyDescent="0.25">
      <c r="B3" s="133" t="s">
        <v>27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5" ht="30.75" customHeight="1" thickTop="1" thickBot="1" x14ac:dyDescent="0.35">
      <c r="B4" s="89" t="s">
        <v>0</v>
      </c>
      <c r="C4" s="89"/>
      <c r="D4" s="94" t="s">
        <v>36</v>
      </c>
      <c r="E4" s="94"/>
      <c r="F4" s="94"/>
      <c r="G4" s="94"/>
      <c r="L4" s="135" t="s">
        <v>24</v>
      </c>
    </row>
    <row r="5" spans="1:15" ht="28.5" customHeight="1" thickTop="1" x14ac:dyDescent="0.3">
      <c r="B5" s="79" t="s">
        <v>1</v>
      </c>
      <c r="C5" s="79"/>
      <c r="D5" s="97" t="s">
        <v>37</v>
      </c>
      <c r="E5" s="97"/>
      <c r="F5" s="97"/>
      <c r="G5" s="97"/>
      <c r="I5" s="136" t="s">
        <v>2</v>
      </c>
      <c r="J5" s="136"/>
      <c r="K5" s="137">
        <v>20000</v>
      </c>
      <c r="L5" s="138">
        <f>K5/12</f>
        <v>1666.6666666666667</v>
      </c>
      <c r="M5" s="139" t="s">
        <v>3</v>
      </c>
    </row>
    <row r="6" spans="1:15" ht="28.5" customHeight="1" thickBot="1" x14ac:dyDescent="0.35">
      <c r="B6" s="79" t="s">
        <v>4</v>
      </c>
      <c r="C6" s="79"/>
      <c r="D6" s="103" t="s">
        <v>38</v>
      </c>
      <c r="E6" s="103"/>
      <c r="F6" s="103"/>
      <c r="G6" s="103"/>
      <c r="I6" s="140">
        <v>0.95</v>
      </c>
      <c r="J6" s="123">
        <f>K5*0.95</f>
        <v>19000</v>
      </c>
      <c r="K6" s="140">
        <v>1.1000000000000001</v>
      </c>
      <c r="L6" s="123">
        <f>K5*1.1</f>
        <v>22000</v>
      </c>
      <c r="M6" s="141" t="s">
        <v>5</v>
      </c>
    </row>
    <row r="7" spans="1:15" ht="19.5" thickTop="1" thickBo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4"/>
    </row>
    <row r="8" spans="1:15" x14ac:dyDescent="0.2">
      <c r="B8" s="145" t="s">
        <v>7</v>
      </c>
      <c r="C8" s="145" t="s">
        <v>8</v>
      </c>
      <c r="D8" s="145" t="s">
        <v>9</v>
      </c>
      <c r="E8" s="145" t="s">
        <v>10</v>
      </c>
      <c r="F8" s="145" t="s">
        <v>11</v>
      </c>
      <c r="G8" s="145" t="s">
        <v>12</v>
      </c>
      <c r="H8" s="145" t="s">
        <v>13</v>
      </c>
      <c r="I8" s="145" t="s">
        <v>14</v>
      </c>
      <c r="J8" s="145" t="s">
        <v>15</v>
      </c>
      <c r="K8" s="145" t="s">
        <v>16</v>
      </c>
      <c r="L8" s="145" t="s">
        <v>17</v>
      </c>
      <c r="M8" s="145" t="s">
        <v>18</v>
      </c>
    </row>
    <row r="9" spans="1:15" ht="13.5" thickBot="1" x14ac:dyDescent="0.25"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</row>
    <row r="10" spans="1:15" ht="23.25" customHeight="1" thickBot="1" x14ac:dyDescent="0.25">
      <c r="A10" s="80" t="s">
        <v>29</v>
      </c>
      <c r="B10" s="81"/>
      <c r="C10" s="81"/>
      <c r="D10" s="81"/>
      <c r="E10" s="81"/>
      <c r="F10" s="81"/>
      <c r="G10" s="81"/>
      <c r="H10" s="81"/>
      <c r="I10" s="82"/>
      <c r="J10" s="115">
        <v>-3000</v>
      </c>
      <c r="K10" s="32"/>
      <c r="L10" s="32"/>
      <c r="M10" s="32"/>
      <c r="N10" s="90">
        <f>J10*0.95</f>
        <v>-2850</v>
      </c>
      <c r="O10" s="116">
        <v>0.95</v>
      </c>
    </row>
    <row r="11" spans="1:15" ht="23.25" customHeight="1" thickBot="1" x14ac:dyDescent="0.25">
      <c r="A11" s="80" t="s">
        <v>25</v>
      </c>
      <c r="B11" s="81"/>
      <c r="C11" s="81"/>
      <c r="D11" s="81"/>
      <c r="E11" s="81"/>
      <c r="F11" s="81"/>
      <c r="G11" s="81"/>
      <c r="H11" s="81"/>
      <c r="I11" s="82"/>
      <c r="J11" s="33">
        <f>J10/4</f>
        <v>-750</v>
      </c>
      <c r="K11" s="33">
        <f>J11</f>
        <v>-750</v>
      </c>
      <c r="L11" s="33">
        <f t="shared" ref="L11:M11" si="0">K11</f>
        <v>-750</v>
      </c>
      <c r="M11" s="33">
        <f t="shared" si="0"/>
        <v>-750</v>
      </c>
      <c r="N11" s="132">
        <f>J10*1.1</f>
        <v>-3300.0000000000005</v>
      </c>
      <c r="O11" s="116">
        <v>1.1000000000000001</v>
      </c>
    </row>
    <row r="12" spans="1:15" ht="49.5" customHeight="1" thickBot="1" x14ac:dyDescent="0.35">
      <c r="A12" s="120" t="s">
        <v>33</v>
      </c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O12" s="123"/>
    </row>
    <row r="13" spans="1:15" ht="28.5" customHeight="1" thickBot="1" x14ac:dyDescent="0.35">
      <c r="A13" s="124" t="s">
        <v>30</v>
      </c>
      <c r="B13" s="70">
        <v>0</v>
      </c>
      <c r="C13" s="70">
        <f>IF(B32&gt;0,B32,0)</f>
        <v>0</v>
      </c>
      <c r="D13" s="70">
        <f t="shared" ref="D13" si="1">IF(C32&gt;0,C32,0)</f>
        <v>0</v>
      </c>
      <c r="E13" s="70">
        <f>IF(D32&gt;0,D32,0)</f>
        <v>0</v>
      </c>
      <c r="F13" s="70">
        <f t="shared" ref="F13:M13" si="2">IF(E32&gt;0,E32,0)</f>
        <v>0</v>
      </c>
      <c r="G13" s="70">
        <f t="shared" si="2"/>
        <v>0</v>
      </c>
      <c r="H13" s="70">
        <f t="shared" si="2"/>
        <v>0</v>
      </c>
      <c r="I13" s="70">
        <f t="shared" si="2"/>
        <v>0</v>
      </c>
      <c r="J13" s="70">
        <f t="shared" si="2"/>
        <v>0</v>
      </c>
      <c r="K13" s="70">
        <f t="shared" si="2"/>
        <v>0</v>
      </c>
      <c r="L13" s="70">
        <f t="shared" si="2"/>
        <v>0</v>
      </c>
      <c r="M13" s="70">
        <f t="shared" si="2"/>
        <v>0</v>
      </c>
    </row>
    <row r="14" spans="1:15" ht="18" customHeight="1" x14ac:dyDescent="0.3">
      <c r="A14" s="147"/>
      <c r="B14" s="3" t="str">
        <f t="shared" ref="B14:M14" si="3">IF(B16&lt;=B12," ","Alult.")</f>
        <v>Alult.</v>
      </c>
      <c r="C14" s="3" t="str">
        <f t="shared" si="3"/>
        <v>Alult.</v>
      </c>
      <c r="D14" s="3" t="str">
        <f t="shared" si="3"/>
        <v>Alult.</v>
      </c>
      <c r="E14" s="3" t="str">
        <f t="shared" si="3"/>
        <v>Alult.</v>
      </c>
      <c r="F14" s="3" t="str">
        <f t="shared" si="3"/>
        <v>Alult.</v>
      </c>
      <c r="G14" s="3" t="str">
        <f t="shared" si="3"/>
        <v>Alult.</v>
      </c>
      <c r="H14" s="3" t="str">
        <f t="shared" si="3"/>
        <v>Alult.</v>
      </c>
      <c r="I14" s="3" t="str">
        <f t="shared" si="3"/>
        <v>Alult.</v>
      </c>
      <c r="J14" s="3" t="str">
        <f t="shared" si="3"/>
        <v>Alult.</v>
      </c>
      <c r="K14" s="3" t="str">
        <f t="shared" si="3"/>
        <v>Alult.</v>
      </c>
      <c r="L14" s="3" t="str">
        <f t="shared" si="3"/>
        <v>Alult.</v>
      </c>
      <c r="M14" s="3" t="str">
        <f t="shared" si="3"/>
        <v>Alult.</v>
      </c>
    </row>
    <row r="15" spans="1:15" ht="15" customHeight="1" thickBot="1" x14ac:dyDescent="0.35">
      <c r="A15" s="147"/>
      <c r="B15" s="30" t="str">
        <f>IF(B17&gt;=B12," ","Túlt.")</f>
        <v xml:space="preserve"> </v>
      </c>
      <c r="C15" s="31" t="str">
        <f t="shared" ref="C15:M15" si="4">IF(C17&gt;=C12," ","Túlt.")</f>
        <v xml:space="preserve"> </v>
      </c>
      <c r="D15" s="31" t="str">
        <f t="shared" si="4"/>
        <v xml:space="preserve"> </v>
      </c>
      <c r="E15" s="31" t="str">
        <f t="shared" si="4"/>
        <v xml:space="preserve"> </v>
      </c>
      <c r="F15" s="31" t="str">
        <f t="shared" si="4"/>
        <v xml:space="preserve"> </v>
      </c>
      <c r="G15" s="31" t="str">
        <f t="shared" si="4"/>
        <v xml:space="preserve"> </v>
      </c>
      <c r="H15" s="31" t="str">
        <f t="shared" si="4"/>
        <v xml:space="preserve"> </v>
      </c>
      <c r="I15" s="31" t="str">
        <f t="shared" si="4"/>
        <v xml:space="preserve"> </v>
      </c>
      <c r="J15" s="31" t="str">
        <f t="shared" si="4"/>
        <v xml:space="preserve"> </v>
      </c>
      <c r="K15" s="31" t="str">
        <f t="shared" si="4"/>
        <v xml:space="preserve"> </v>
      </c>
      <c r="L15" s="31" t="str">
        <f t="shared" si="4"/>
        <v xml:space="preserve"> </v>
      </c>
      <c r="M15" s="31" t="str">
        <f t="shared" si="4"/>
        <v xml:space="preserve"> </v>
      </c>
    </row>
    <row r="16" spans="1:15" ht="18.75" customHeight="1" thickBot="1" x14ac:dyDescent="0.35">
      <c r="A16" s="148" t="s">
        <v>19</v>
      </c>
      <c r="B16" s="4">
        <f>$K$5/12*0.95</f>
        <v>1583.3333333333333</v>
      </c>
      <c r="C16" s="4">
        <f t="shared" ref="C16:H16" si="5">$K$5/12*0.95</f>
        <v>1583.3333333333333</v>
      </c>
      <c r="D16" s="4">
        <f t="shared" si="5"/>
        <v>1583.3333333333333</v>
      </c>
      <c r="E16" s="4">
        <f t="shared" si="5"/>
        <v>1583.3333333333333</v>
      </c>
      <c r="F16" s="4">
        <f t="shared" si="5"/>
        <v>1583.3333333333333</v>
      </c>
      <c r="G16" s="4">
        <f t="shared" si="5"/>
        <v>1583.3333333333333</v>
      </c>
      <c r="H16" s="4">
        <f t="shared" si="5"/>
        <v>1583.3333333333333</v>
      </c>
      <c r="I16" s="4">
        <f>($K$5/12+I11)*0.95</f>
        <v>1583.3333333333333</v>
      </c>
      <c r="J16" s="4">
        <f>($K$5/12+J11)*0.95</f>
        <v>870.83333333333337</v>
      </c>
      <c r="K16" s="4">
        <f t="shared" ref="K16:M16" si="6">($K$5/12+K11)*0.95</f>
        <v>870.83333333333337</v>
      </c>
      <c r="L16" s="4">
        <f>($K$5/12+L11)*0.95</f>
        <v>870.83333333333337</v>
      </c>
      <c r="M16" s="4">
        <f t="shared" si="6"/>
        <v>870.83333333333337</v>
      </c>
      <c r="N16" s="127"/>
    </row>
    <row r="17" spans="1:14" ht="18.75" customHeight="1" thickBot="1" x14ac:dyDescent="0.35">
      <c r="A17" s="148" t="s">
        <v>20</v>
      </c>
      <c r="B17" s="5">
        <f t="shared" ref="B17:G17" si="7">$K$5/12*1.1</f>
        <v>1833.3333333333335</v>
      </c>
      <c r="C17" s="5">
        <f t="shared" si="7"/>
        <v>1833.3333333333335</v>
      </c>
      <c r="D17" s="5">
        <f t="shared" si="7"/>
        <v>1833.3333333333335</v>
      </c>
      <c r="E17" s="5">
        <f t="shared" si="7"/>
        <v>1833.3333333333335</v>
      </c>
      <c r="F17" s="5">
        <f t="shared" si="7"/>
        <v>1833.3333333333335</v>
      </c>
      <c r="G17" s="5">
        <f t="shared" si="7"/>
        <v>1833.3333333333335</v>
      </c>
      <c r="H17" s="5">
        <f>$K$5/12*1.1</f>
        <v>1833.3333333333335</v>
      </c>
      <c r="I17" s="5">
        <f>($K$5/12+I11)*1.1</f>
        <v>1833.3333333333335</v>
      </c>
      <c r="J17" s="5">
        <f t="shared" ref="J17:M17" si="8">($K$5/12+J11)*1.1</f>
        <v>1008.3333333333335</v>
      </c>
      <c r="K17" s="5">
        <f t="shared" si="8"/>
        <v>1008.3333333333335</v>
      </c>
      <c r="L17" s="5">
        <f t="shared" si="8"/>
        <v>1008.3333333333335</v>
      </c>
      <c r="M17" s="5">
        <f t="shared" si="8"/>
        <v>1008.3333333333335</v>
      </c>
    </row>
    <row r="18" spans="1:14" ht="15" customHeight="1" thickBot="1" x14ac:dyDescent="0.35">
      <c r="A18" s="149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4" ht="15" customHeight="1" x14ac:dyDescent="0.3">
      <c r="A19" s="149"/>
      <c r="B19" s="8" t="s">
        <v>7</v>
      </c>
      <c r="C19" s="9" t="s">
        <v>21</v>
      </c>
      <c r="D19" s="9" t="s">
        <v>21</v>
      </c>
      <c r="E19" s="9" t="s">
        <v>21</v>
      </c>
      <c r="F19" s="9" t="s">
        <v>21</v>
      </c>
      <c r="G19" s="9" t="s">
        <v>21</v>
      </c>
      <c r="H19" s="9" t="s">
        <v>21</v>
      </c>
      <c r="I19" s="9" t="s">
        <v>21</v>
      </c>
      <c r="J19" s="9" t="s">
        <v>21</v>
      </c>
      <c r="K19" s="9" t="s">
        <v>21</v>
      </c>
      <c r="L19" s="9" t="s">
        <v>21</v>
      </c>
      <c r="M19" s="10" t="s">
        <v>21</v>
      </c>
    </row>
    <row r="20" spans="1:14" ht="15" customHeight="1" thickBot="1" x14ac:dyDescent="0.35">
      <c r="A20" s="149"/>
      <c r="B20" s="11"/>
      <c r="C20" s="12" t="s">
        <v>8</v>
      </c>
      <c r="D20" s="12" t="s">
        <v>9</v>
      </c>
      <c r="E20" s="12" t="s">
        <v>10</v>
      </c>
      <c r="F20" s="12" t="s">
        <v>11</v>
      </c>
      <c r="G20" s="12" t="s">
        <v>12</v>
      </c>
      <c r="H20" s="12" t="s">
        <v>13</v>
      </c>
      <c r="I20" s="12" t="s">
        <v>14</v>
      </c>
      <c r="J20" s="12" t="s">
        <v>15</v>
      </c>
      <c r="K20" s="12" t="s">
        <v>16</v>
      </c>
      <c r="L20" s="12" t="s">
        <v>17</v>
      </c>
      <c r="M20" s="12" t="s">
        <v>18</v>
      </c>
    </row>
    <row r="21" spans="1:14" ht="18" customHeight="1" thickTop="1" x14ac:dyDescent="0.35">
      <c r="A21" s="148" t="s">
        <v>31</v>
      </c>
      <c r="B21" s="13">
        <f>B12</f>
        <v>0</v>
      </c>
      <c r="C21" s="14">
        <f t="shared" ref="C21:M21" si="9">B21+C12</f>
        <v>0</v>
      </c>
      <c r="D21" s="14">
        <f t="shared" si="9"/>
        <v>0</v>
      </c>
      <c r="E21" s="14">
        <f t="shared" si="9"/>
        <v>0</v>
      </c>
      <c r="F21" s="14">
        <f t="shared" si="9"/>
        <v>0</v>
      </c>
      <c r="G21" s="14">
        <f t="shared" si="9"/>
        <v>0</v>
      </c>
      <c r="H21" s="14">
        <f t="shared" si="9"/>
        <v>0</v>
      </c>
      <c r="I21" s="14">
        <f t="shared" si="9"/>
        <v>0</v>
      </c>
      <c r="J21" s="14">
        <f t="shared" si="9"/>
        <v>0</v>
      </c>
      <c r="K21" s="14">
        <f t="shared" si="9"/>
        <v>0</v>
      </c>
      <c r="L21" s="14">
        <f t="shared" si="9"/>
        <v>0</v>
      </c>
      <c r="M21" s="14">
        <f t="shared" si="9"/>
        <v>0</v>
      </c>
    </row>
    <row r="22" spans="1:14" ht="9" customHeight="1" x14ac:dyDescent="0.3">
      <c r="A22" s="149"/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15" customHeight="1" x14ac:dyDescent="0.3">
      <c r="A23" s="149"/>
      <c r="B23" s="2" t="str">
        <f t="shared" ref="B23:M23" si="10">IF(B25&lt;=B21," ","Alult.")</f>
        <v>Alult.</v>
      </c>
      <c r="C23" s="3" t="str">
        <f t="shared" si="10"/>
        <v>Alult.</v>
      </c>
      <c r="D23" s="3" t="str">
        <f t="shared" si="10"/>
        <v>Alult.</v>
      </c>
      <c r="E23" s="3" t="str">
        <f t="shared" si="10"/>
        <v>Alult.</v>
      </c>
      <c r="F23" s="3" t="str">
        <f t="shared" si="10"/>
        <v>Alult.</v>
      </c>
      <c r="G23" s="3" t="str">
        <f t="shared" si="10"/>
        <v>Alult.</v>
      </c>
      <c r="H23" s="3" t="str">
        <f t="shared" si="10"/>
        <v>Alult.</v>
      </c>
      <c r="I23" s="3" t="str">
        <f t="shared" si="10"/>
        <v>Alult.</v>
      </c>
      <c r="J23" s="3" t="str">
        <f t="shared" si="10"/>
        <v>Alult.</v>
      </c>
      <c r="K23" s="3" t="str">
        <f t="shared" si="10"/>
        <v>Alult.</v>
      </c>
      <c r="L23" s="3" t="str">
        <f t="shared" si="10"/>
        <v>Alult.</v>
      </c>
      <c r="M23" s="3" t="str">
        <f t="shared" si="10"/>
        <v>Alult.</v>
      </c>
    </row>
    <row r="24" spans="1:14" ht="15" customHeight="1" thickBot="1" x14ac:dyDescent="0.35">
      <c r="A24" s="149"/>
      <c r="B24" s="16" t="str">
        <f t="shared" ref="B24:M24" si="11">IF(B26&gt;=B21," ","Túlt.")</f>
        <v xml:space="preserve"> </v>
      </c>
      <c r="C24" s="17" t="str">
        <f t="shared" si="11"/>
        <v xml:space="preserve"> </v>
      </c>
      <c r="D24" s="17" t="str">
        <f t="shared" si="11"/>
        <v xml:space="preserve"> </v>
      </c>
      <c r="E24" s="17" t="str">
        <f t="shared" si="11"/>
        <v xml:space="preserve"> </v>
      </c>
      <c r="F24" s="17" t="str">
        <f t="shared" si="11"/>
        <v xml:space="preserve"> </v>
      </c>
      <c r="G24" s="17" t="str">
        <f t="shared" si="11"/>
        <v xml:space="preserve"> </v>
      </c>
      <c r="H24" s="17" t="str">
        <f t="shared" si="11"/>
        <v xml:space="preserve"> </v>
      </c>
      <c r="I24" s="17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4" ht="20.25" customHeight="1" thickBot="1" x14ac:dyDescent="0.35">
      <c r="A25" s="148" t="s">
        <v>19</v>
      </c>
      <c r="B25" s="18">
        <f>$K$5/12*0.95</f>
        <v>1583.3333333333333</v>
      </c>
      <c r="C25" s="19">
        <f>$K$5/12*0.95+B25</f>
        <v>3166.6666666666665</v>
      </c>
      <c r="D25" s="19">
        <f t="shared" ref="D25:H25" si="12">$K$5/12*0.95+C25</f>
        <v>4750</v>
      </c>
      <c r="E25" s="19">
        <f t="shared" si="12"/>
        <v>6333.333333333333</v>
      </c>
      <c r="F25" s="19">
        <f t="shared" si="12"/>
        <v>7916.6666666666661</v>
      </c>
      <c r="G25" s="19">
        <f t="shared" si="12"/>
        <v>9500</v>
      </c>
      <c r="H25" s="19">
        <f t="shared" si="12"/>
        <v>11083.333333333334</v>
      </c>
      <c r="I25" s="20">
        <f>($K$5/12)*0.95+H25</f>
        <v>12666.666666666668</v>
      </c>
      <c r="J25" s="20">
        <f t="shared" ref="J25:M25" si="13">($K$5/12+J11)*0.95+I25</f>
        <v>13537.500000000002</v>
      </c>
      <c r="K25" s="20">
        <f t="shared" si="13"/>
        <v>14408.333333333336</v>
      </c>
      <c r="L25" s="20">
        <f t="shared" si="13"/>
        <v>15279.16666666667</v>
      </c>
      <c r="M25" s="20">
        <f t="shared" si="13"/>
        <v>16150.000000000004</v>
      </c>
      <c r="N25" s="127">
        <f>J6+N10-M25</f>
        <v>0</v>
      </c>
    </row>
    <row r="26" spans="1:14" ht="20.25" customHeight="1" thickTop="1" thickBot="1" x14ac:dyDescent="0.35">
      <c r="A26" s="148" t="s">
        <v>20</v>
      </c>
      <c r="B26" s="21">
        <f t="shared" ref="B26" si="14">$K$5/12*1.1</f>
        <v>1833.3333333333335</v>
      </c>
      <c r="C26" s="22">
        <f>$K$5/12*1.1+B26</f>
        <v>3666.666666666667</v>
      </c>
      <c r="D26" s="22">
        <f t="shared" ref="D26:H26" si="15">$K$5/12*1.1+C26</f>
        <v>5500</v>
      </c>
      <c r="E26" s="22">
        <f t="shared" si="15"/>
        <v>7333.3333333333339</v>
      </c>
      <c r="F26" s="22">
        <f t="shared" si="15"/>
        <v>9166.6666666666679</v>
      </c>
      <c r="G26" s="22">
        <f t="shared" si="15"/>
        <v>11000.000000000002</v>
      </c>
      <c r="H26" s="22">
        <f t="shared" si="15"/>
        <v>12833.333333333336</v>
      </c>
      <c r="I26" s="23">
        <f>($K$5/12)*1.1+H26</f>
        <v>14666.66666666667</v>
      </c>
      <c r="J26" s="23">
        <f t="shared" ref="J26:M26" si="16">($K$5/12+J11)*1.1+I26</f>
        <v>15675.000000000004</v>
      </c>
      <c r="K26" s="23">
        <f t="shared" si="16"/>
        <v>16683.333333333336</v>
      </c>
      <c r="L26" s="23">
        <f t="shared" si="16"/>
        <v>17691.666666666668</v>
      </c>
      <c r="M26" s="23">
        <f t="shared" si="16"/>
        <v>18700</v>
      </c>
      <c r="N26" s="127">
        <f>L6+N11-M26</f>
        <v>0</v>
      </c>
    </row>
    <row r="27" spans="1:14" ht="9" customHeight="1" x14ac:dyDescent="0.3">
      <c r="A27" s="75"/>
      <c r="B27" s="24"/>
      <c r="C27" s="25"/>
      <c r="D27" s="26"/>
      <c r="E27" s="24"/>
      <c r="F27" s="25"/>
      <c r="G27" s="26"/>
      <c r="H27" s="24"/>
      <c r="I27" s="25"/>
      <c r="J27" s="26"/>
      <c r="K27" s="24"/>
      <c r="L27" s="25"/>
      <c r="M27" s="27"/>
    </row>
    <row r="28" spans="1:14" ht="20.25" x14ac:dyDescent="0.3">
      <c r="A28" s="76"/>
      <c r="B28" s="24"/>
      <c r="C28" s="24"/>
      <c r="D28" s="24"/>
      <c r="E28" s="24"/>
      <c r="F28" s="24"/>
      <c r="G28" s="24"/>
      <c r="H28" s="28" t="str">
        <f>IF(H30&lt;=H21," ","Alult.")</f>
        <v>Alult.</v>
      </c>
      <c r="I28" s="24"/>
      <c r="J28" s="24"/>
      <c r="K28" s="24"/>
      <c r="L28" s="24"/>
      <c r="M28" s="24"/>
    </row>
    <row r="29" spans="1:14" ht="21" thickBot="1" x14ac:dyDescent="0.35">
      <c r="A29" s="76"/>
      <c r="B29" s="24"/>
      <c r="C29" s="24"/>
      <c r="D29" s="24"/>
      <c r="E29" s="24"/>
      <c r="F29" s="24"/>
      <c r="G29" s="24"/>
      <c r="H29" s="28" t="str">
        <f>IF(H30&gt;=H21," ","Túlt.")</f>
        <v xml:space="preserve"> </v>
      </c>
      <c r="I29" s="24"/>
      <c r="J29" s="24"/>
      <c r="K29" s="24"/>
      <c r="L29" s="24"/>
      <c r="M29" s="24"/>
    </row>
    <row r="30" spans="1:14" ht="24.75" customHeight="1" x14ac:dyDescent="0.3">
      <c r="A30" s="77" t="s">
        <v>22</v>
      </c>
      <c r="B30" s="24"/>
      <c r="C30" s="24"/>
      <c r="D30" s="24"/>
      <c r="E30" s="24"/>
      <c r="F30" s="24"/>
      <c r="G30" s="24"/>
      <c r="H30" s="29">
        <f>(K5/12)*7*0.75</f>
        <v>8750</v>
      </c>
      <c r="I30" s="24"/>
      <c r="J30" s="24"/>
      <c r="K30" s="24"/>
      <c r="L30" s="24"/>
      <c r="M30" s="24"/>
    </row>
    <row r="31" spans="1:14" ht="39" customHeight="1" x14ac:dyDescent="0.3">
      <c r="A31" s="34" t="s">
        <v>23</v>
      </c>
      <c r="B31" s="64">
        <f t="shared" ref="B31:M31" si="17">B12-B17</f>
        <v>-1833.3333333333335</v>
      </c>
      <c r="C31" s="64">
        <f t="shared" si="17"/>
        <v>-1833.3333333333335</v>
      </c>
      <c r="D31" s="64">
        <f t="shared" si="17"/>
        <v>-1833.3333333333335</v>
      </c>
      <c r="E31" s="64">
        <f t="shared" si="17"/>
        <v>-1833.3333333333335</v>
      </c>
      <c r="F31" s="64">
        <f t="shared" si="17"/>
        <v>-1833.3333333333335</v>
      </c>
      <c r="G31" s="64">
        <f t="shared" si="17"/>
        <v>-1833.3333333333335</v>
      </c>
      <c r="H31" s="64">
        <f t="shared" si="17"/>
        <v>-1833.3333333333335</v>
      </c>
      <c r="I31" s="64">
        <f t="shared" si="17"/>
        <v>-1833.3333333333335</v>
      </c>
      <c r="J31" s="64">
        <f t="shared" si="17"/>
        <v>-1008.3333333333335</v>
      </c>
      <c r="K31" s="64">
        <f t="shared" si="17"/>
        <v>-1008.3333333333335</v>
      </c>
      <c r="L31" s="64">
        <f t="shared" si="17"/>
        <v>-1008.3333333333335</v>
      </c>
      <c r="M31" s="64">
        <f t="shared" si="17"/>
        <v>-1008.3333333333335</v>
      </c>
    </row>
    <row r="32" spans="1:14" ht="42" customHeight="1" x14ac:dyDescent="0.35">
      <c r="A32" s="68" t="s">
        <v>32</v>
      </c>
      <c r="B32" s="69">
        <f>B21-B26</f>
        <v>-1833.3333333333335</v>
      </c>
      <c r="C32" s="69">
        <f t="shared" ref="C32:M32" si="18">C21-C26</f>
        <v>-3666.666666666667</v>
      </c>
      <c r="D32" s="69">
        <f t="shared" si="18"/>
        <v>-5500</v>
      </c>
      <c r="E32" s="69">
        <f t="shared" si="18"/>
        <v>-7333.3333333333339</v>
      </c>
      <c r="F32" s="69">
        <f t="shared" si="18"/>
        <v>-9166.6666666666679</v>
      </c>
      <c r="G32" s="69">
        <f t="shared" si="18"/>
        <v>-11000.000000000002</v>
      </c>
      <c r="H32" s="69">
        <f t="shared" si="18"/>
        <v>-12833.333333333336</v>
      </c>
      <c r="I32" s="69">
        <f t="shared" si="18"/>
        <v>-14666.66666666667</v>
      </c>
      <c r="J32" s="69">
        <f t="shared" si="18"/>
        <v>-15675.000000000004</v>
      </c>
      <c r="K32" s="69">
        <f t="shared" si="18"/>
        <v>-16683.333333333336</v>
      </c>
      <c r="L32" s="69">
        <f t="shared" si="18"/>
        <v>-17691.666666666668</v>
      </c>
      <c r="M32" s="69">
        <f t="shared" si="18"/>
        <v>-18700</v>
      </c>
    </row>
    <row r="33" spans="1:13" ht="45.75" customHeight="1" x14ac:dyDescent="0.3">
      <c r="A33" s="128" t="s">
        <v>34</v>
      </c>
      <c r="B33" s="74">
        <f>IF((B12+B13)&gt;B17,B17,(B12+B13))</f>
        <v>0</v>
      </c>
      <c r="C33" s="74">
        <f>IF((C$12+C$13+B$33)&lt;C$26,C$12+C$13,C$26-B$33)</f>
        <v>0</v>
      </c>
      <c r="D33" s="74">
        <f>IF((D$12+D$13+B$33+C$33)&lt;D$26,D$12+D$13,D$26-B$33-C$33)</f>
        <v>0</v>
      </c>
      <c r="E33" s="74">
        <f>IF((E$12+E$13+B$33+C$33+D$33)&lt;E$26,E$12+E$13,E$26-B$33-C$33-D$33)</f>
        <v>0</v>
      </c>
      <c r="F33" s="74">
        <f>IF((F$12+F$13+B$33+C$33+D$33+E$33)&lt;F$26,F$12+F$13,F$26-B$33-C$33-D$33-E$33)</f>
        <v>0</v>
      </c>
      <c r="G33" s="74">
        <f>IF((G$12+G$13+B$33+C$33+D$33+E$33+F$33)&lt;G$26,G$12+G$13,G$26-B$33-C$33-D$33-E$33-F$33)</f>
        <v>0</v>
      </c>
      <c r="H33" s="74">
        <f>IF((H$12+H$13+B$33+C$33+D$33+E$33+F$33+G$33)&lt;H$26,H$12+H$13,H$26-B$33-C$33-D$33-E$33-F$33-G$33)</f>
        <v>0</v>
      </c>
      <c r="I33" s="74">
        <f>IF((I$12+I$13+B$33+C$33+D$33+E$33+F$33+G$33+H$33)&lt;I$26,I$12+I$13,I$26-B$33-C$33-D$33-E$33-F$33-G$33-H$33)</f>
        <v>0</v>
      </c>
      <c r="J33" s="74">
        <f>IF((J$12+J$13+B$33+C$33+D$33+E$33+F$33+G$33+H$33+I$33)&lt;J$26,J$12+J$13,J$26-B$33-C$33-D$33-E$33-F$33-G$33-H$33-I$33)</f>
        <v>0</v>
      </c>
      <c r="K33" s="74">
        <f>IF((K$12+K$13+B$33+C$33+D$33+E$33+F$33+G$33+H$33+I$33+J$33)&lt;K$26,K$12+K$13,K$26-B$33-C$33-D$33-E$33-F$33-G$33-H$33-I$33-J$33)</f>
        <v>0</v>
      </c>
      <c r="L33" s="74">
        <f>IF((L$12+L$13+B$33+C$33+D$33+E$33+F$33+G$33+H$33+I$33+J$33+K$33)&lt;L$26,L$12+L$13,L$26-B$33-C$33-D$33-E$33-F$33-G$33-H$33-I$33-J$33-K$33)</f>
        <v>0</v>
      </c>
      <c r="M33" s="74">
        <f>IF((M$12+M$13+B$33+C$33+D$33+E$33+F$33+G$33+H$33+I$33+J$33+K$33+L$33)&lt;M$26,M$12+M$13,M$26-B$33-C$33-D$33-E$33-F$33-G$33-H$33-I$33-J$33-K$33-L$33)</f>
        <v>0</v>
      </c>
    </row>
  </sheetData>
  <sheetProtection password="CC23" sheet="1" objects="1" scenarios="1"/>
  <mergeCells count="24">
    <mergeCell ref="B2:M2"/>
    <mergeCell ref="B6:C6"/>
    <mergeCell ref="D6:G6"/>
    <mergeCell ref="B7:M7"/>
    <mergeCell ref="A10:I10"/>
    <mergeCell ref="L8:L9"/>
    <mergeCell ref="M8:M9"/>
    <mergeCell ref="A11:I11"/>
    <mergeCell ref="B8:B9"/>
    <mergeCell ref="C8:C9"/>
    <mergeCell ref="D8:D9"/>
    <mergeCell ref="K8:K9"/>
    <mergeCell ref="E8:E9"/>
    <mergeCell ref="F8:F9"/>
    <mergeCell ref="G8:G9"/>
    <mergeCell ref="H8:H9"/>
    <mergeCell ref="I8:I9"/>
    <mergeCell ref="J8:J9"/>
    <mergeCell ref="B3:M3"/>
    <mergeCell ref="B4:C4"/>
    <mergeCell ref="D4:G4"/>
    <mergeCell ref="B5:C5"/>
    <mergeCell ref="D5:G5"/>
    <mergeCell ref="I5:J5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Alul-túlt._ell.08. MÓD. </vt:lpstr>
      <vt:lpstr>Alul-túlt._ell.09. MÓD.  </vt:lpstr>
      <vt:lpstr>'Alul-túlt._ell.08. MÓD. '!Nyomtatási_terület</vt:lpstr>
      <vt:lpstr>'Alul-túlt._ell.09. MÓD. 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alul_tul_telj_tabla-módosítással</dc:title>
  <dc:subject>alul_tul_telj_tabla-módosítással</dc:subject>
  <dc:creator>Bodnár Mária</dc:creator>
  <cp:keywords>alul_tul_telj_tabla-módosítással</cp:keywords>
  <cp:lastModifiedBy>Bodnár Mária</cp:lastModifiedBy>
  <dcterms:created xsi:type="dcterms:W3CDTF">2013-05-14T14:50:50Z</dcterms:created>
  <dcterms:modified xsi:type="dcterms:W3CDTF">2014-08-01T09:46:02Z</dcterms:modified>
</cp:coreProperties>
</file>